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a.munoz\Desktop\"/>
    </mc:Choice>
  </mc:AlternateContent>
  <xr:revisionPtr revIDLastSave="0" documentId="8_{56BEC0A9-7DDE-4931-BD3A-76E98F50C237}" xr6:coauthVersionLast="45" xr6:coauthVersionMax="45" xr10:uidLastSave="{00000000-0000-0000-0000-000000000000}"/>
  <bookViews>
    <workbookView xWindow="-110" yWindow="-110" windowWidth="19420" windowHeight="10420" activeTab="1" xr2:uid="{90CBB7C7-F2F3-4D07-9054-A269E2352A5F}"/>
  </bookViews>
  <sheets>
    <sheet name="Supuestos-Crisis" sheetId="2" r:id="rId1"/>
    <sheet name="ER PROYECTADO " sheetId="1" r:id="rId2"/>
    <sheet name="BG PROYECTADO 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4" l="1"/>
  <c r="T10" i="4" l="1"/>
  <c r="T8" i="4" s="1"/>
  <c r="T12" i="4"/>
  <c r="T11" i="4"/>
  <c r="R11" i="4"/>
  <c r="R21" i="4" s="1"/>
  <c r="R8" i="4"/>
  <c r="P11" i="4"/>
  <c r="P8" i="4"/>
  <c r="P21" i="4" s="1"/>
  <c r="K8" i="4"/>
  <c r="K21" i="4" s="1"/>
  <c r="X31" i="1"/>
  <c r="V31" i="1"/>
  <c r="T31" i="1"/>
  <c r="R31" i="1"/>
  <c r="X17" i="1"/>
  <c r="V17" i="1"/>
  <c r="T17" i="1"/>
  <c r="R17" i="1"/>
  <c r="X11" i="1"/>
  <c r="X19" i="1" s="1"/>
  <c r="X24" i="1" s="1"/>
  <c r="V11" i="1"/>
  <c r="V19" i="1" s="1"/>
  <c r="V24" i="1" s="1"/>
  <c r="V33" i="1" s="1"/>
  <c r="R34" i="4" s="1"/>
  <c r="T11" i="1"/>
  <c r="T19" i="1" s="1"/>
  <c r="T24" i="1" s="1"/>
  <c r="T33" i="1" s="1"/>
  <c r="P34" i="4" s="1"/>
  <c r="R11" i="1"/>
  <c r="N8" i="4"/>
  <c r="N11" i="4"/>
  <c r="K11" i="4"/>
  <c r="T30" i="4"/>
  <c r="T29" i="4"/>
  <c r="R30" i="4"/>
  <c r="R29" i="4" s="1"/>
  <c r="P30" i="4"/>
  <c r="P29" i="4" s="1"/>
  <c r="N30" i="4"/>
  <c r="N29" i="4"/>
  <c r="K29" i="4"/>
  <c r="K30" i="4"/>
  <c r="T45" i="4"/>
  <c r="T40" i="4"/>
  <c r="R45" i="4"/>
  <c r="R44" i="4"/>
  <c r="R43" i="4"/>
  <c r="R40" i="4"/>
  <c r="P45" i="4"/>
  <c r="P44" i="4"/>
  <c r="P43" i="4"/>
  <c r="P40" i="4"/>
  <c r="N45" i="4"/>
  <c r="N44" i="4"/>
  <c r="N43" i="4"/>
  <c r="N40" i="4"/>
  <c r="K44" i="4"/>
  <c r="K40" i="4"/>
  <c r="K45" i="4" s="1"/>
  <c r="K43" i="4"/>
  <c r="H45" i="4"/>
  <c r="H40" i="4"/>
  <c r="X33" i="1" l="1"/>
  <c r="T34" i="4" s="1"/>
  <c r="R19" i="1"/>
  <c r="R24" i="1" s="1"/>
  <c r="R33" i="1" s="1"/>
  <c r="N34" i="4" s="1"/>
  <c r="T21" i="4"/>
  <c r="N21" i="4"/>
  <c r="T27" i="4" l="1"/>
  <c r="R27" i="4"/>
  <c r="P27" i="4"/>
  <c r="N27" i="4"/>
  <c r="L33" i="4" l="1"/>
  <c r="L30" i="4"/>
  <c r="L20" i="4"/>
  <c r="L19" i="4"/>
  <c r="L18" i="4" s="1"/>
  <c r="L17" i="4"/>
  <c r="L16" i="4"/>
  <c r="L15" i="4" s="1"/>
  <c r="L14" i="4"/>
  <c r="L13" i="4"/>
  <c r="L10" i="4"/>
  <c r="L9" i="4"/>
  <c r="L8" i="4" s="1"/>
  <c r="I5" i="4"/>
  <c r="H18" i="4"/>
  <c r="I17" i="4"/>
  <c r="I33" i="4"/>
  <c r="I25" i="4"/>
  <c r="I20" i="4"/>
  <c r="I19" i="4"/>
  <c r="I18" i="4" s="1"/>
  <c r="I16" i="4"/>
  <c r="I15" i="4" s="1"/>
  <c r="P37" i="1"/>
  <c r="P36" i="1"/>
  <c r="F35" i="4"/>
  <c r="H34" i="4"/>
  <c r="H12" i="4" s="1"/>
  <c r="H11" i="4" s="1"/>
  <c r="H32" i="4"/>
  <c r="I32" i="4" s="1"/>
  <c r="H30" i="4"/>
  <c r="H29" i="4" s="1"/>
  <c r="F27" i="4"/>
  <c r="F36" i="4" s="1"/>
  <c r="H26" i="4"/>
  <c r="K26" i="4" s="1"/>
  <c r="K27" i="4" s="1"/>
  <c r="H25" i="4"/>
  <c r="H20" i="4"/>
  <c r="H19" i="4"/>
  <c r="F18" i="4"/>
  <c r="H17" i="4"/>
  <c r="H16" i="4"/>
  <c r="H15" i="4" s="1"/>
  <c r="F15" i="4"/>
  <c r="H14" i="4"/>
  <c r="I14" i="4" s="1"/>
  <c r="H13" i="4"/>
  <c r="I13" i="4" s="1"/>
  <c r="F11" i="4"/>
  <c r="H10" i="4"/>
  <c r="I10" i="4" s="1"/>
  <c r="H9" i="4"/>
  <c r="I9" i="4" s="1"/>
  <c r="I8" i="4" s="1"/>
  <c r="F8" i="4"/>
  <c r="P15" i="1"/>
  <c r="P16" i="1"/>
  <c r="P14" i="1"/>
  <c r="P9" i="1"/>
  <c r="P7" i="1"/>
  <c r="H48" i="1"/>
  <c r="H47" i="1"/>
  <c r="H44" i="1"/>
  <c r="F49" i="1"/>
  <c r="H49" i="1" s="1"/>
  <c r="F48" i="1"/>
  <c r="F47" i="1"/>
  <c r="H8" i="2"/>
  <c r="H18" i="2"/>
  <c r="G22" i="2"/>
  <c r="F22" i="2"/>
  <c r="H35" i="4" l="1"/>
  <c r="I26" i="4"/>
  <c r="I29" i="4"/>
  <c r="I30" i="4"/>
  <c r="F21" i="4"/>
  <c r="H27" i="4"/>
  <c r="H8" i="4"/>
  <c r="F5" i="2"/>
  <c r="G5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H36" i="4" l="1"/>
  <c r="I27" i="4"/>
  <c r="L29" i="4"/>
  <c r="H21" i="4"/>
  <c r="L29" i="1" l="1"/>
  <c r="L26" i="1"/>
  <c r="J30" i="1"/>
  <c r="N30" i="1" l="1"/>
  <c r="L48" i="1" l="1"/>
  <c r="P30" i="1" s="1"/>
  <c r="J48" i="1"/>
  <c r="P17" i="1"/>
  <c r="L17" i="1"/>
  <c r="L11" i="1"/>
  <c r="J27" i="1"/>
  <c r="N27" i="1" s="1"/>
  <c r="J28" i="1"/>
  <c r="N28" i="1" s="1"/>
  <c r="J29" i="1"/>
  <c r="N29" i="1" s="1"/>
  <c r="J26" i="1"/>
  <c r="N26" i="1" s="1"/>
  <c r="L30" i="1"/>
  <c r="L44" i="1" l="1"/>
  <c r="J44" i="1"/>
  <c r="J46" i="1"/>
  <c r="L46" i="1"/>
  <c r="P28" i="1" s="1"/>
  <c r="L47" i="1"/>
  <c r="P29" i="1" s="1"/>
  <c r="J47" i="1"/>
  <c r="L45" i="1"/>
  <c r="P27" i="1" s="1"/>
  <c r="J45" i="1"/>
  <c r="L19" i="1"/>
  <c r="L24" i="1" s="1"/>
  <c r="J50" i="1" l="1"/>
  <c r="P26" i="1"/>
  <c r="P31" i="1" s="1"/>
  <c r="L50" i="1"/>
  <c r="F46" i="1"/>
  <c r="H46" i="1" s="1"/>
  <c r="L28" i="1" s="1"/>
  <c r="F45" i="1"/>
  <c r="H45" i="1" s="1"/>
  <c r="F44" i="1"/>
  <c r="N31" i="1"/>
  <c r="J31" i="1"/>
  <c r="N17" i="1"/>
  <c r="J17" i="1"/>
  <c r="J11" i="1"/>
  <c r="E50" i="1"/>
  <c r="L27" i="1" l="1"/>
  <c r="L31" i="1" s="1"/>
  <c r="L33" i="1" s="1"/>
  <c r="L40" i="1" s="1"/>
  <c r="H50" i="1"/>
  <c r="H51" i="1" s="1"/>
  <c r="F50" i="1"/>
  <c r="F51" i="1" s="1"/>
  <c r="J19" i="1"/>
  <c r="J24" i="1" s="1"/>
  <c r="J33" i="1" s="1"/>
  <c r="H31" i="1"/>
  <c r="H17" i="1"/>
  <c r="H11" i="1"/>
  <c r="P8" i="1" l="1"/>
  <c r="I34" i="4"/>
  <c r="H19" i="1"/>
  <c r="H24" i="1" s="1"/>
  <c r="H33" i="1" s="1"/>
  <c r="L32" i="4" l="1"/>
  <c r="I35" i="4"/>
  <c r="I36" i="4" s="1"/>
  <c r="I12" i="4"/>
  <c r="I11" i="4" s="1"/>
  <c r="I21" i="4" s="1"/>
  <c r="N11" i="1"/>
  <c r="N19" i="1" s="1"/>
  <c r="N24" i="1" s="1"/>
  <c r="N33" i="1" s="1"/>
  <c r="K34" i="4" s="1"/>
  <c r="P11" i="1"/>
  <c r="P19" i="1" s="1"/>
  <c r="P24" i="1" s="1"/>
  <c r="P33" i="1" s="1"/>
  <c r="D21" i="2"/>
  <c r="B21" i="2"/>
  <c r="C10" i="2"/>
  <c r="C7" i="2"/>
  <c r="C6" i="2"/>
  <c r="C21" i="2" s="1"/>
  <c r="L34" i="4" l="1"/>
  <c r="L12" i="4" s="1"/>
  <c r="L11" i="4" s="1"/>
  <c r="L21" i="4" s="1"/>
  <c r="P40" i="1"/>
  <c r="P41" i="1" s="1"/>
  <c r="N32" i="4"/>
  <c r="K35" i="4"/>
  <c r="K36" i="4" s="1"/>
  <c r="L35" i="4" l="1"/>
  <c r="L36" i="4" s="1"/>
  <c r="P32" i="4"/>
  <c r="N35" i="4"/>
  <c r="N36" i="4" s="1"/>
  <c r="P35" i="4" l="1"/>
  <c r="P36" i="4" s="1"/>
  <c r="R32" i="4"/>
  <c r="T32" i="4" l="1"/>
  <c r="T35" i="4" s="1"/>
  <c r="T36" i="4" s="1"/>
  <c r="R35" i="4"/>
  <c r="R36" i="4" s="1"/>
</calcChain>
</file>

<file path=xl/sharedStrings.xml><?xml version="1.0" encoding="utf-8"?>
<sst xmlns="http://schemas.openxmlformats.org/spreadsheetml/2006/main" count="144" uniqueCount="129">
  <si>
    <t>FGA CONFIA SOCIEDAD COOPERATIVA R.L</t>
  </si>
  <si>
    <t xml:space="preserve">ESTADO DE RESULTADOS INTEGRAL </t>
  </si>
  <si>
    <t xml:space="preserve">Proyectado </t>
  </si>
  <si>
    <t>( En colones )</t>
  </si>
  <si>
    <t xml:space="preserve">Ingresos Financieros </t>
  </si>
  <si>
    <t>PROYECTADO 2020 CIERRE</t>
  </si>
  <si>
    <t>PROYECTADO 2021</t>
  </si>
  <si>
    <t xml:space="preserve">     Por disponibilidades </t>
  </si>
  <si>
    <t xml:space="preserve">     Por inversiones en instrumentos financieros </t>
  </si>
  <si>
    <t xml:space="preserve">     Por ganancia en diferencias de cambios </t>
  </si>
  <si>
    <t xml:space="preserve">     Por otros ingresos (Proyecto DEG)</t>
  </si>
  <si>
    <t xml:space="preserve">Total ingresos financieros </t>
  </si>
  <si>
    <t xml:space="preserve">Gastos Financieros </t>
  </si>
  <si>
    <t xml:space="preserve">     Por Obligaciones financieros </t>
  </si>
  <si>
    <t xml:space="preserve">     Por perdidas por diferencias cambiarias </t>
  </si>
  <si>
    <t xml:space="preserve">    Estimación de liquidez </t>
  </si>
  <si>
    <t xml:space="preserve">     Por otros gastos financieros </t>
  </si>
  <si>
    <t xml:space="preserve">Total gastos financieros </t>
  </si>
  <si>
    <t xml:space="preserve">Otros ingresos de operación </t>
  </si>
  <si>
    <t xml:space="preserve">    Por cuotas de mantenimiento </t>
  </si>
  <si>
    <t xml:space="preserve">    Ingreso por FEE anual </t>
  </si>
  <si>
    <t xml:space="preserve">Gastos administrativos </t>
  </si>
  <si>
    <t xml:space="preserve">   Por gastos de personal</t>
  </si>
  <si>
    <t xml:space="preserve">   Por gastos por servicios externos </t>
  </si>
  <si>
    <t xml:space="preserve">   Por gastos de movilidad y comunicaciones </t>
  </si>
  <si>
    <t xml:space="preserve">   Por gastos de infraestructura </t>
  </si>
  <si>
    <t xml:space="preserve">   Por gastos generales</t>
  </si>
  <si>
    <t xml:space="preserve">Total gastos administrativos </t>
  </si>
  <si>
    <t xml:space="preserve">SOBRE LA UTLIDAD </t>
  </si>
  <si>
    <t xml:space="preserve">    Ingreso por afiliación</t>
  </si>
  <si>
    <t xml:space="preserve">   Aporte Capitalizable FGA</t>
  </si>
  <si>
    <t>Presupuesto 2020</t>
  </si>
  <si>
    <t xml:space="preserve">   Por depreciones </t>
  </si>
  <si>
    <t>Total gasto pendiente 2020</t>
  </si>
  <si>
    <t>VALORACIÓN DE MANTENER OFICINA EN TIEMPOS DE CRISIS</t>
  </si>
  <si>
    <t>RUBRO</t>
  </si>
  <si>
    <t>Escenarios</t>
  </si>
  <si>
    <t>Actual            (pre crisis)</t>
  </si>
  <si>
    <t>Oficina pequeña y Teletrabajo</t>
  </si>
  <si>
    <t>Remoto 100%</t>
  </si>
  <si>
    <t xml:space="preserve">Alquiler oficinas centrales </t>
  </si>
  <si>
    <r>
      <t>Asistente administrativo (incluye cargas sociales)</t>
    </r>
    <r>
      <rPr>
        <vertAlign val="superscript"/>
        <sz val="11"/>
        <color theme="1"/>
        <rFont val="Calibri"/>
        <family val="2"/>
        <scheme val="minor"/>
      </rPr>
      <t>1</t>
    </r>
  </si>
  <si>
    <r>
      <t>Servicios de limpieza (MO)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</si>
  <si>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Atención visitas ofic centrales </t>
    </r>
    <r>
      <rPr>
        <vertAlign val="superscript"/>
        <sz val="11"/>
        <color theme="1"/>
        <rFont val="Calibri"/>
        <family val="2"/>
        <scheme val="minor"/>
      </rPr>
      <t>3</t>
    </r>
  </si>
  <si>
    <t>Gastos por telefonia fija</t>
  </si>
  <si>
    <t xml:space="preserve">Gastos por  internet </t>
  </si>
  <si>
    <t xml:space="preserve">Gastos por serv.publicos ofic centrales </t>
  </si>
  <si>
    <t>Patente municipal</t>
  </si>
  <si>
    <t xml:space="preserve">Gastos por materiales y suministros de operación </t>
  </si>
  <si>
    <t>Alquiler salón (1 ve al mes para reunión 4hrs) Coworking*</t>
  </si>
  <si>
    <t>Colocation de servidor</t>
  </si>
  <si>
    <t>Cross/connection servidor</t>
  </si>
  <si>
    <t>Reconocimiento de gastos de Internet y celular al personal</t>
  </si>
  <si>
    <t>Reunión consejo de administración presencial</t>
  </si>
  <si>
    <t>Total gastos generales</t>
  </si>
  <si>
    <t>* Opciones van desde Republic Workspace que Salón incluye:Video beam, lona de proyección y audio Café y té ilimitados Internet  corporativo Concierge y limpieza Pizarra y marcadores por $100 a Regus que incluye: facilidades para proyectar, marcadores, rotafolios e internet por $300</t>
  </si>
  <si>
    <t>** Cotización Hotel Park</t>
  </si>
  <si>
    <t>Spuestos</t>
  </si>
  <si>
    <t>1. Asistente administrativa es recepcionista en los dos primeros escenarios, en el escenario remoto se conserva solo medio tiempo</t>
  </si>
  <si>
    <t>2. Se conserva a la conserje medio tiempo en el escenario mixto</t>
  </si>
  <si>
    <t>3. Esto incluye suministros como café, te galletas. Se conserva una parte para las reuniones del escenario remoto</t>
  </si>
  <si>
    <t>4. La electricidad del escenario mixto considera que se mantiene el A/C del servidor</t>
  </si>
  <si>
    <t xml:space="preserve">Capital Social </t>
  </si>
  <si>
    <t xml:space="preserve">Combinada </t>
  </si>
  <si>
    <t xml:space="preserve">100% Teletrabajo </t>
  </si>
  <si>
    <t>Fìsica</t>
  </si>
  <si>
    <t xml:space="preserve">MODALIDAD DE TRABAJO </t>
  </si>
  <si>
    <t xml:space="preserve">ACUMULADO 2020 ABRIL </t>
  </si>
  <si>
    <t xml:space="preserve">DIFERENCIA </t>
  </si>
  <si>
    <t xml:space="preserve">Cuadre </t>
  </si>
  <si>
    <t>Modalidad 2020</t>
  </si>
  <si>
    <t>Modalidad 2021</t>
  </si>
  <si>
    <t xml:space="preserve">FGA CONFIA SOCIEDAD COOPERATIVA R.L </t>
  </si>
  <si>
    <t xml:space="preserve">BALANCE GENERAL </t>
  </si>
  <si>
    <t>PROYECTADO</t>
  </si>
  <si>
    <t xml:space="preserve">ACTIVOS </t>
  </si>
  <si>
    <t>Periodo 2020 Proyectado</t>
  </si>
  <si>
    <t>Periodo 2021 Proyectado</t>
  </si>
  <si>
    <t xml:space="preserve">Disponibilidades </t>
  </si>
  <si>
    <t xml:space="preserve">    Efectivo </t>
  </si>
  <si>
    <t xml:space="preserve">    Entidades financieras del país </t>
  </si>
  <si>
    <t xml:space="preserve">Inversiones en instrumentos financieros </t>
  </si>
  <si>
    <t xml:space="preserve">   Certificados de inversion a plazo</t>
  </si>
  <si>
    <t xml:space="preserve">   Productos por cobrar </t>
  </si>
  <si>
    <t xml:space="preserve">   Estimación de liquidez</t>
  </si>
  <si>
    <t xml:space="preserve">Cuentas y comisiones por cobrar </t>
  </si>
  <si>
    <t xml:space="preserve">   Cuentas por cobrar por partes relacionadas y otras cuentas por cobrar</t>
  </si>
  <si>
    <t>Inmuebles, mobiliario y equipo (neto)</t>
  </si>
  <si>
    <t xml:space="preserve">Otros Activos </t>
  </si>
  <si>
    <t xml:space="preserve">     Activos Intangibles </t>
  </si>
  <si>
    <t xml:space="preserve">      Gastos pagados por adelantado </t>
  </si>
  <si>
    <t xml:space="preserve">TOTAL ACTIVOS </t>
  </si>
  <si>
    <t xml:space="preserve">PASIVOS Y PATRIMONIO </t>
  </si>
  <si>
    <t xml:space="preserve">PASIVOS </t>
  </si>
  <si>
    <t xml:space="preserve">Cuentas por pagar y provisiones </t>
  </si>
  <si>
    <t xml:space="preserve">Otros pasivos </t>
  </si>
  <si>
    <t xml:space="preserve">TOTAL PASIVOS </t>
  </si>
  <si>
    <t>PATRIMONIO</t>
  </si>
  <si>
    <t xml:space="preserve">   Capital pagado </t>
  </si>
  <si>
    <t xml:space="preserve">    Capital donado</t>
  </si>
  <si>
    <t xml:space="preserve">Reservas Patrimoniales </t>
  </si>
  <si>
    <t xml:space="preserve">Resultado de peridos anteriores </t>
  </si>
  <si>
    <t xml:space="preserve">Resultado del año </t>
  </si>
  <si>
    <t xml:space="preserve">TOTAL PATRIMONIO </t>
  </si>
  <si>
    <t>TOTAL DEL PASIVO Y PATRIMONIO</t>
  </si>
  <si>
    <t>Proyección 2020 con MT</t>
  </si>
  <si>
    <t>Proyección 2021 con MT</t>
  </si>
  <si>
    <t>Periodo 2022 Proyectado</t>
  </si>
  <si>
    <t>Periodo 2023 Proyectado</t>
  </si>
  <si>
    <t>Periodo 2024 Proyectado</t>
  </si>
  <si>
    <t>Periodo 2025 Proyectado</t>
  </si>
  <si>
    <t xml:space="preserve"> </t>
  </si>
  <si>
    <t>PROYECTADO 2022</t>
  </si>
  <si>
    <t>PROYECTADO 2023</t>
  </si>
  <si>
    <t>PROYECTADO 2024</t>
  </si>
  <si>
    <t>PROYECTADO 2025</t>
  </si>
  <si>
    <t xml:space="preserve">Composición Capital social </t>
  </si>
  <si>
    <t xml:space="preserve">Capital social pagado inical </t>
  </si>
  <si>
    <t xml:space="preserve">Inclusión de cooperativas </t>
  </si>
  <si>
    <t xml:space="preserve">Salida de Capital Coopebanpo </t>
  </si>
  <si>
    <t xml:space="preserve">Salida de Capital Coopeservidores </t>
  </si>
  <si>
    <t>Aporte capitalizable por cuota de afiliación</t>
  </si>
  <si>
    <t xml:space="preserve">       Total capital social pagado </t>
  </si>
  <si>
    <t xml:space="preserve">   INGRESO POR FEE ANUAL  </t>
  </si>
  <si>
    <t xml:space="preserve">EXCEDENTE FINANCIERO </t>
  </si>
  <si>
    <t xml:space="preserve">EXCEDENTE OPERACIONAL NETO </t>
  </si>
  <si>
    <t>PROYECCION 2020 CON CAMBIO</t>
  </si>
  <si>
    <t>PROYECTADO 2021 CON CAMBIO</t>
  </si>
  <si>
    <t>EXCENDENTE OPERAC. NETO ANTES DE PARTIC.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</si>
</sst>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2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110">
    <xf numFmtId="0" fontId="0" fillId="0" borderId="0" xfId="0"/>
    <xf numFmtId="0" fontId="0" fillId="3" borderId="0" xfId="0" applyFill="1"/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0" fillId="4" borderId="0" xfId="0" applyFill="1"/>
    <xf numFmtId="165" fontId="0" fillId="4" borderId="0" xfId="1" applyNumberFormat="1" applyFont="1" applyFill="1"/>
    <xf numFmtId="0" fontId="8" fillId="4" borderId="3" xfId="0" applyFont="1" applyFill="1" applyBorder="1"/>
    <xf numFmtId="165" fontId="8" fillId="4" borderId="3" xfId="1" applyNumberFormat="1" applyFont="1" applyFill="1" applyBorder="1"/>
    <xf numFmtId="0" fontId="4" fillId="4" borderId="0" xfId="0" applyFont="1" applyFill="1"/>
    <xf numFmtId="0" fontId="9" fillId="4" borderId="0" xfId="0" applyFont="1" applyFill="1"/>
    <xf numFmtId="43" fontId="2" fillId="2" borderId="1" xfId="2" applyNumberFormat="1"/>
    <xf numFmtId="0" fontId="4" fillId="3" borderId="0" xfId="0" applyFont="1" applyFill="1"/>
    <xf numFmtId="43" fontId="0" fillId="3" borderId="0" xfId="1" applyFont="1" applyFill="1"/>
    <xf numFmtId="165" fontId="0" fillId="3" borderId="0" xfId="1" applyNumberFormat="1" applyFont="1" applyFill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7" fontId="0" fillId="3" borderId="0" xfId="0" applyNumberFormat="1" applyFill="1" applyAlignment="1">
      <alignment horizontal="center"/>
    </xf>
    <xf numFmtId="17" fontId="4" fillId="3" borderId="2" xfId="0" applyNumberFormat="1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 wrapText="1"/>
    </xf>
    <xf numFmtId="164" fontId="0" fillId="3" borderId="0" xfId="0" applyNumberFormat="1" applyFill="1"/>
    <xf numFmtId="43" fontId="0" fillId="3" borderId="0" xfId="0" applyNumberFormat="1" applyFill="1"/>
    <xf numFmtId="43" fontId="4" fillId="3" borderId="0" xfId="0" applyNumberFormat="1" applyFont="1" applyFill="1"/>
    <xf numFmtId="43" fontId="0" fillId="4" borderId="0" xfId="1" applyFont="1" applyFill="1"/>
    <xf numFmtId="165" fontId="0" fillId="4" borderId="0" xfId="0" applyNumberFormat="1" applyFill="1"/>
    <xf numFmtId="0" fontId="8" fillId="4" borderId="0" xfId="0" applyFont="1" applyFill="1" applyBorder="1"/>
    <xf numFmtId="165" fontId="8" fillId="4" borderId="0" xfId="1" applyNumberFormat="1" applyFont="1" applyFill="1" applyBorder="1"/>
    <xf numFmtId="43" fontId="4" fillId="3" borderId="0" xfId="1" applyFont="1" applyFill="1"/>
    <xf numFmtId="0" fontId="0" fillId="0" borderId="0" xfId="0" applyFill="1"/>
    <xf numFmtId="43" fontId="0" fillId="0" borderId="0" xfId="0" applyNumberFormat="1" applyFill="1"/>
    <xf numFmtId="0" fontId="5" fillId="0" borderId="0" xfId="0" applyFont="1" applyFill="1"/>
    <xf numFmtId="43" fontId="5" fillId="0" borderId="0" xfId="0" applyNumberFormat="1" applyFont="1" applyFill="1"/>
    <xf numFmtId="0" fontId="12" fillId="3" borderId="0" xfId="0" applyFont="1" applyFill="1"/>
    <xf numFmtId="14" fontId="4" fillId="3" borderId="7" xfId="0" applyNumberFormat="1" applyFont="1" applyFill="1" applyBorder="1" applyAlignment="1">
      <alignment horizontal="center"/>
    </xf>
    <xf numFmtId="164" fontId="4" fillId="3" borderId="0" xfId="1" applyNumberFormat="1" applyFont="1" applyFill="1"/>
    <xf numFmtId="165" fontId="4" fillId="3" borderId="0" xfId="1" applyNumberFormat="1" applyFont="1" applyFill="1"/>
    <xf numFmtId="164" fontId="0" fillId="3" borderId="0" xfId="1" applyNumberFormat="1" applyFont="1" applyFill="1"/>
    <xf numFmtId="165" fontId="4" fillId="0" borderId="0" xfId="1" applyNumberFormat="1" applyFont="1" applyFill="1"/>
    <xf numFmtId="165" fontId="0" fillId="0" borderId="0" xfId="1" applyNumberFormat="1" applyFont="1" applyFill="1"/>
    <xf numFmtId="164" fontId="4" fillId="3" borderId="5" xfId="1" applyNumberFormat="1" applyFont="1" applyFill="1" applyBorder="1"/>
    <xf numFmtId="164" fontId="0" fillId="0" borderId="0" xfId="1" applyNumberFormat="1" applyFont="1"/>
    <xf numFmtId="164" fontId="4" fillId="3" borderId="4" xfId="1" applyNumberFormat="1" applyFont="1" applyFill="1" applyBorder="1"/>
    <xf numFmtId="0" fontId="3" fillId="7" borderId="7" xfId="0" applyFont="1" applyFill="1" applyBorder="1" applyAlignment="1">
      <alignment horizontal="center" wrapText="1"/>
    </xf>
    <xf numFmtId="164" fontId="4" fillId="3" borderId="0" xfId="1" applyNumberFormat="1" applyFont="1" applyFill="1" applyBorder="1"/>
    <xf numFmtId="0" fontId="0" fillId="3" borderId="0" xfId="0" applyFill="1" applyBorder="1"/>
    <xf numFmtId="0" fontId="4" fillId="3" borderId="0" xfId="0" applyFont="1" applyFill="1" applyBorder="1"/>
    <xf numFmtId="165" fontId="0" fillId="3" borderId="0" xfId="1" applyNumberFormat="1" applyFont="1" applyFill="1" applyBorder="1"/>
    <xf numFmtId="164" fontId="0" fillId="3" borderId="0" xfId="1" applyNumberFormat="1" applyFont="1" applyFill="1" applyBorder="1"/>
    <xf numFmtId="165" fontId="0" fillId="0" borderId="0" xfId="1" applyNumberFormat="1" applyFont="1" applyFill="1" applyBorder="1"/>
    <xf numFmtId="0" fontId="0" fillId="0" borderId="0" xfId="0" applyBorder="1"/>
    <xf numFmtId="0" fontId="0" fillId="3" borderId="0" xfId="0" applyFill="1" applyAlignment="1">
      <alignment horizontal="center" wrapText="1"/>
    </xf>
    <xf numFmtId="0" fontId="13" fillId="5" borderId="2" xfId="0" applyFont="1" applyFill="1" applyBorder="1" applyAlignment="1">
      <alignment horizontal="center" wrapText="1"/>
    </xf>
    <xf numFmtId="0" fontId="0" fillId="5" borderId="8" xfId="0" applyFill="1" applyBorder="1"/>
    <xf numFmtId="0" fontId="5" fillId="3" borderId="0" xfId="0" applyFont="1" applyFill="1"/>
    <xf numFmtId="164" fontId="0" fillId="0" borderId="0" xfId="1" applyNumberFormat="1" applyFont="1" applyFill="1" applyBorder="1"/>
    <xf numFmtId="164" fontId="0" fillId="0" borderId="0" xfId="1" applyNumberFormat="1" applyFont="1" applyFill="1"/>
    <xf numFmtId="43" fontId="0" fillId="0" borderId="0" xfId="1" applyFont="1" applyFill="1"/>
    <xf numFmtId="0" fontId="4" fillId="0" borderId="0" xfId="0" applyFont="1" applyFill="1"/>
    <xf numFmtId="164" fontId="4" fillId="0" borderId="0" xfId="1" applyNumberFormat="1" applyFont="1" applyFill="1" applyBorder="1"/>
    <xf numFmtId="164" fontId="4" fillId="0" borderId="3" xfId="1" applyNumberFormat="1" applyFont="1" applyFill="1" applyBorder="1"/>
    <xf numFmtId="164" fontId="0" fillId="0" borderId="0" xfId="0" applyNumberFormat="1" applyFill="1"/>
    <xf numFmtId="164" fontId="4" fillId="0" borderId="0" xfId="0" applyNumberFormat="1" applyFont="1" applyFill="1"/>
    <xf numFmtId="164" fontId="4" fillId="0" borderId="4" xfId="0" applyNumberFormat="1" applyFont="1" applyFill="1" applyBorder="1"/>
    <xf numFmtId="43" fontId="4" fillId="0" borderId="3" xfId="1" applyNumberFormat="1" applyFont="1" applyFill="1" applyBorder="1"/>
    <xf numFmtId="164" fontId="11" fillId="0" borderId="0" xfId="0" applyNumberFormat="1" applyFont="1" applyFill="1"/>
    <xf numFmtId="164" fontId="11" fillId="0" borderId="5" xfId="0" applyNumberFormat="1" applyFont="1" applyFill="1" applyBorder="1"/>
    <xf numFmtId="164" fontId="11" fillId="0" borderId="0" xfId="0" applyNumberFormat="1" applyFont="1" applyFill="1" applyBorder="1"/>
    <xf numFmtId="0" fontId="4" fillId="5" borderId="8" xfId="0" applyFont="1" applyFill="1" applyBorder="1"/>
    <xf numFmtId="0" fontId="4" fillId="3" borderId="0" xfId="0" applyFont="1" applyFill="1" applyAlignment="1">
      <alignment horizontal="center" wrapText="1"/>
    </xf>
    <xf numFmtId="165" fontId="0" fillId="0" borderId="0" xfId="0" applyNumberFormat="1"/>
    <xf numFmtId="0" fontId="3" fillId="7" borderId="7" xfId="0" applyFont="1" applyFill="1" applyBorder="1" applyAlignment="1">
      <alignment horizontal="center"/>
    </xf>
    <xf numFmtId="43" fontId="0" fillId="0" borderId="0" xfId="1" applyFont="1"/>
    <xf numFmtId="0" fontId="15" fillId="8" borderId="0" xfId="0" applyFont="1" applyFill="1"/>
    <xf numFmtId="164" fontId="15" fillId="8" borderId="0" xfId="1" applyNumberFormat="1" applyFont="1" applyFill="1" applyBorder="1"/>
    <xf numFmtId="164" fontId="14" fillId="8" borderId="0" xfId="1" applyNumberFormat="1" applyFont="1" applyFill="1" applyBorder="1"/>
    <xf numFmtId="43" fontId="15" fillId="8" borderId="0" xfId="1" applyFont="1" applyFill="1" applyBorder="1"/>
    <xf numFmtId="0" fontId="16" fillId="9" borderId="2" xfId="0" applyFont="1" applyFill="1" applyBorder="1" applyAlignment="1">
      <alignment horizontal="center" wrapText="1"/>
    </xf>
    <xf numFmtId="164" fontId="15" fillId="0" borderId="0" xfId="1" applyNumberFormat="1" applyFont="1" applyFill="1" applyBorder="1"/>
    <xf numFmtId="0" fontId="15" fillId="0" borderId="0" xfId="0" applyFont="1"/>
    <xf numFmtId="165" fontId="15" fillId="0" borderId="0" xfId="0" applyNumberFormat="1" applyFont="1"/>
    <xf numFmtId="164" fontId="15" fillId="8" borderId="0" xfId="0" applyNumberFormat="1" applyFont="1" applyFill="1"/>
    <xf numFmtId="164" fontId="14" fillId="8" borderId="0" xfId="0" applyNumberFormat="1" applyFont="1" applyFill="1"/>
    <xf numFmtId="43" fontId="15" fillId="8" borderId="0" xfId="0" applyNumberFormat="1" applyFont="1" applyFill="1"/>
    <xf numFmtId="164" fontId="17" fillId="8" borderId="5" xfId="0" applyNumberFormat="1" applyFont="1" applyFill="1" applyBorder="1"/>
    <xf numFmtId="164" fontId="17" fillId="8" borderId="0" xfId="0" applyNumberFormat="1" applyFont="1" applyFill="1"/>
    <xf numFmtId="164" fontId="0" fillId="0" borderId="0" xfId="0" applyNumberFormat="1"/>
    <xf numFmtId="43" fontId="0" fillId="0" borderId="0" xfId="0" applyNumberFormat="1"/>
    <xf numFmtId="0" fontId="0" fillId="3" borderId="0" xfId="0" applyFont="1" applyFill="1"/>
    <xf numFmtId="0" fontId="3" fillId="7" borderId="0" xfId="0" applyFont="1" applyFill="1"/>
    <xf numFmtId="0" fontId="5" fillId="7" borderId="0" xfId="0" applyFont="1" applyFill="1"/>
    <xf numFmtId="0" fontId="3" fillId="7" borderId="0" xfId="0" applyFont="1" applyFill="1" applyAlignment="1">
      <alignment horizontal="center"/>
    </xf>
    <xf numFmtId="165" fontId="3" fillId="7" borderId="0" xfId="0" applyNumberFormat="1" applyFont="1" applyFill="1" applyAlignment="1">
      <alignment horizontal="center"/>
    </xf>
    <xf numFmtId="0" fontId="3" fillId="7" borderId="0" xfId="0" applyFont="1" applyFill="1" applyBorder="1" applyAlignment="1">
      <alignment horizontal="center"/>
    </xf>
    <xf numFmtId="164" fontId="3" fillId="7" borderId="0" xfId="0" applyNumberFormat="1" applyFont="1" applyFill="1" applyAlignment="1">
      <alignment vertical="center"/>
    </xf>
    <xf numFmtId="0" fontId="0" fillId="3" borderId="12" xfId="0" applyFill="1" applyBorder="1"/>
    <xf numFmtId="0" fontId="4" fillId="0" borderId="0" xfId="0" applyFont="1"/>
    <xf numFmtId="43" fontId="4" fillId="0" borderId="0" xfId="0" applyNumberFormat="1" applyFont="1"/>
    <xf numFmtId="0" fontId="4" fillId="0" borderId="0" xfId="0" applyFont="1" applyBorder="1"/>
    <xf numFmtId="0" fontId="18" fillId="3" borderId="0" xfId="0" applyFont="1" applyFill="1"/>
    <xf numFmtId="0" fontId="19" fillId="3" borderId="0" xfId="0" applyFont="1" applyFill="1"/>
    <xf numFmtId="0" fontId="6" fillId="4" borderId="0" xfId="0" applyFont="1" applyFill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top" wrapText="1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3">
    <cellStyle name="Entrada" xfId="2" builtinId="20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333375</xdr:colOff>
      <xdr:row>3</xdr:row>
      <xdr:rowOff>223864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C99F59-0249-4BB0-8643-FF5A10644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0"/>
          <a:ext cx="1095375" cy="8048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476250</xdr:colOff>
      <xdr:row>4</xdr:row>
      <xdr:rowOff>33364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E4365C-2EE2-4362-86C2-691DEBDF3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0"/>
          <a:ext cx="1095375" cy="8048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viana.FGACONFIA/AppData/Local/Microsoft/Windows/INetCache/Content.Outlook/TTG1D52T/Proyeccion%20Balance%20-%20Resultados%20FGA%20V3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BG-PROYECTADO"/>
      <sheetName val="ER-PROYECTADO"/>
      <sheetName val="Cédula Captaciones"/>
      <sheetName val="Cédula Cartera Crédito"/>
      <sheetName val="Cédula Activo Total"/>
      <sheetName val="Cálculo IVA"/>
      <sheetName val="Cédula Ingresos "/>
    </sheetNames>
    <sheetDataSet>
      <sheetData sheetId="0" refreshError="1"/>
      <sheetData sheetId="1" refreshError="1"/>
      <sheetData sheetId="2">
        <row r="15">
          <cell r="J15">
            <v>0</v>
          </cell>
        </row>
        <row r="33">
          <cell r="J33">
            <v>78081713.846510589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95649-C516-4958-9D9A-3F3DEE2443BD}">
  <dimension ref="A1:KT125"/>
  <sheetViews>
    <sheetView workbookViewId="0">
      <selection activeCell="G22" sqref="G22"/>
    </sheetView>
  </sheetViews>
  <sheetFormatPr baseColWidth="10" defaultRowHeight="14.5" outlineLevelCol="1" x14ac:dyDescent="0.35"/>
  <cols>
    <col min="1" max="1" width="64.81640625" customWidth="1"/>
    <col min="2" max="3" width="11.54296875" customWidth="1"/>
    <col min="4" max="4" width="13" customWidth="1"/>
    <col min="5" max="5" width="11.453125" style="4"/>
    <col min="6" max="6" width="14.453125" style="4" customWidth="1" outlineLevel="1"/>
    <col min="7" max="7" width="14.7265625" style="4" customWidth="1" outlineLevel="1"/>
    <col min="8" max="8" width="13.81640625" style="4" customWidth="1" outlineLevel="1"/>
    <col min="9" max="9" width="11.453125" style="4" customWidth="1" outlineLevel="1"/>
    <col min="10" max="10" width="13.81640625" style="4" customWidth="1" outlineLevel="1"/>
    <col min="11" max="306" width="11.453125" style="4"/>
  </cols>
  <sheetData>
    <row r="1" spans="1:8" s="4" customFormat="1" ht="18.5" x14ac:dyDescent="0.45">
      <c r="A1" s="99" t="s">
        <v>34</v>
      </c>
      <c r="B1" s="99"/>
      <c r="C1" s="99"/>
      <c r="D1" s="99"/>
    </row>
    <row r="2" spans="1:8" s="4" customFormat="1" x14ac:dyDescent="0.35"/>
    <row r="3" spans="1:8" x14ac:dyDescent="0.35">
      <c r="A3" s="100" t="s">
        <v>35</v>
      </c>
      <c r="B3" s="102" t="s">
        <v>36</v>
      </c>
      <c r="C3" s="102"/>
      <c r="D3" s="102"/>
    </row>
    <row r="4" spans="1:8" ht="43.5" x14ac:dyDescent="0.35">
      <c r="A4" s="101"/>
      <c r="B4" s="2" t="s">
        <v>37</v>
      </c>
      <c r="C4" s="2" t="s">
        <v>38</v>
      </c>
      <c r="D4" s="3" t="s">
        <v>39</v>
      </c>
      <c r="F4" s="4" t="s">
        <v>68</v>
      </c>
      <c r="G4" s="4" t="s">
        <v>68</v>
      </c>
    </row>
    <row r="5" spans="1:8" x14ac:dyDescent="0.35">
      <c r="A5" s="4" t="s">
        <v>40</v>
      </c>
      <c r="B5" s="5">
        <v>1490000</v>
      </c>
      <c r="C5" s="5">
        <v>700000</v>
      </c>
      <c r="D5" s="5"/>
      <c r="F5" s="23">
        <f>+B5-C5</f>
        <v>790000</v>
      </c>
      <c r="G5" s="23">
        <f>+B5-D5</f>
        <v>1490000</v>
      </c>
    </row>
    <row r="6" spans="1:8" ht="16.5" x14ac:dyDescent="0.35">
      <c r="A6" s="4" t="s">
        <v>41</v>
      </c>
      <c r="B6" s="5">
        <v>632500</v>
      </c>
      <c r="C6" s="5">
        <f>B6</f>
        <v>632500</v>
      </c>
      <c r="D6" s="5">
        <v>321000</v>
      </c>
      <c r="F6" s="23">
        <f t="shared" ref="F6:F21" si="0">+B6-C6</f>
        <v>0</v>
      </c>
      <c r="G6" s="23">
        <f t="shared" ref="G6:G20" si="1">+B6-D6</f>
        <v>311500</v>
      </c>
    </row>
    <row r="7" spans="1:8" ht="16.5" x14ac:dyDescent="0.35">
      <c r="A7" s="4" t="s">
        <v>42</v>
      </c>
      <c r="B7" s="5">
        <v>225000</v>
      </c>
      <c r="C7" s="5">
        <f>B7/2</f>
        <v>112500</v>
      </c>
      <c r="D7" s="5">
        <v>0</v>
      </c>
      <c r="F7" s="23">
        <f t="shared" si="0"/>
        <v>112500</v>
      </c>
      <c r="G7" s="23">
        <f t="shared" si="1"/>
        <v>225000</v>
      </c>
    </row>
    <row r="8" spans="1:8" ht="16.5" x14ac:dyDescent="0.35">
      <c r="A8" s="4" t="s">
        <v>43</v>
      </c>
      <c r="B8" s="5">
        <v>50000</v>
      </c>
      <c r="C8" s="5">
        <v>20000</v>
      </c>
      <c r="D8" s="5">
        <v>0</v>
      </c>
      <c r="F8" s="23">
        <f t="shared" si="0"/>
        <v>30000</v>
      </c>
      <c r="G8" s="23">
        <f t="shared" si="1"/>
        <v>50000</v>
      </c>
      <c r="H8" s="23">
        <f>SUM(G7:G13)</f>
        <v>960000</v>
      </c>
    </row>
    <row r="9" spans="1:8" x14ac:dyDescent="0.35">
      <c r="A9" s="4" t="s">
        <v>44</v>
      </c>
      <c r="B9" s="5">
        <v>30000</v>
      </c>
      <c r="C9" s="5">
        <v>20000</v>
      </c>
      <c r="D9" s="5">
        <v>0</v>
      </c>
      <c r="F9" s="23">
        <f t="shared" si="0"/>
        <v>10000</v>
      </c>
      <c r="G9" s="23">
        <f t="shared" si="1"/>
        <v>30000</v>
      </c>
    </row>
    <row r="10" spans="1:8" x14ac:dyDescent="0.35">
      <c r="A10" s="4" t="s">
        <v>45</v>
      </c>
      <c r="B10" s="5">
        <v>255000</v>
      </c>
      <c r="C10" s="5">
        <f>B10</f>
        <v>255000</v>
      </c>
      <c r="D10" s="5">
        <v>0</v>
      </c>
      <c r="F10" s="23">
        <f t="shared" si="0"/>
        <v>0</v>
      </c>
      <c r="G10" s="23">
        <f t="shared" si="1"/>
        <v>255000</v>
      </c>
    </row>
    <row r="11" spans="1:8" x14ac:dyDescent="0.35">
      <c r="A11" s="4" t="s">
        <v>46</v>
      </c>
      <c r="B11" s="5">
        <v>215000</v>
      </c>
      <c r="C11" s="5">
        <v>140000</v>
      </c>
      <c r="D11" s="5">
        <v>0</v>
      </c>
      <c r="F11" s="23">
        <f t="shared" si="0"/>
        <v>75000</v>
      </c>
      <c r="G11" s="23">
        <f t="shared" si="1"/>
        <v>215000</v>
      </c>
    </row>
    <row r="12" spans="1:8" x14ac:dyDescent="0.35">
      <c r="A12" s="4" t="s">
        <v>47</v>
      </c>
      <c r="B12" s="5">
        <v>125000</v>
      </c>
      <c r="C12" s="5">
        <v>80000</v>
      </c>
      <c r="D12" s="4"/>
      <c r="F12" s="23">
        <f t="shared" si="0"/>
        <v>45000</v>
      </c>
      <c r="G12" s="23">
        <f t="shared" si="1"/>
        <v>125000</v>
      </c>
    </row>
    <row r="13" spans="1:8" x14ac:dyDescent="0.35">
      <c r="A13" s="4" t="s">
        <v>48</v>
      </c>
      <c r="B13" s="5">
        <v>80000</v>
      </c>
      <c r="C13" s="5">
        <v>40000</v>
      </c>
      <c r="D13" s="5">
        <v>20000</v>
      </c>
      <c r="F13" s="23">
        <f t="shared" si="0"/>
        <v>40000</v>
      </c>
      <c r="G13" s="23">
        <f t="shared" si="1"/>
        <v>60000</v>
      </c>
    </row>
    <row r="14" spans="1:8" x14ac:dyDescent="0.35">
      <c r="A14" s="4" t="s">
        <v>49</v>
      </c>
      <c r="B14" s="5"/>
      <c r="C14" s="5"/>
      <c r="D14" s="5">
        <v>170000</v>
      </c>
      <c r="F14" s="23">
        <f t="shared" si="0"/>
        <v>0</v>
      </c>
      <c r="G14" s="23">
        <f>+B14-D14</f>
        <v>-170000</v>
      </c>
    </row>
    <row r="15" spans="1:8" x14ac:dyDescent="0.35">
      <c r="A15" s="4" t="s">
        <v>50</v>
      </c>
      <c r="B15" s="5"/>
      <c r="C15" s="5"/>
      <c r="D15" s="5">
        <v>200000</v>
      </c>
      <c r="F15" s="23">
        <f t="shared" si="0"/>
        <v>0</v>
      </c>
      <c r="G15" s="23">
        <f t="shared" si="1"/>
        <v>-200000</v>
      </c>
    </row>
    <row r="16" spans="1:8" x14ac:dyDescent="0.35">
      <c r="A16" s="4" t="s">
        <v>51</v>
      </c>
      <c r="B16" s="5"/>
      <c r="C16" s="5"/>
      <c r="D16" s="5">
        <v>50000</v>
      </c>
      <c r="F16" s="23">
        <f t="shared" si="0"/>
        <v>0</v>
      </c>
      <c r="G16" s="23">
        <f t="shared" si="1"/>
        <v>-50000</v>
      </c>
    </row>
    <row r="17" spans="1:9" x14ac:dyDescent="0.35">
      <c r="A17" s="4" t="s">
        <v>52</v>
      </c>
      <c r="B17" s="5"/>
      <c r="C17" s="5"/>
      <c r="D17" s="5">
        <v>100000</v>
      </c>
      <c r="F17" s="23">
        <f t="shared" si="0"/>
        <v>0</v>
      </c>
      <c r="G17" s="23">
        <f t="shared" si="1"/>
        <v>-100000</v>
      </c>
    </row>
    <row r="18" spans="1:9" x14ac:dyDescent="0.35">
      <c r="A18" s="4" t="s">
        <v>53</v>
      </c>
      <c r="B18" s="5"/>
      <c r="C18" s="5"/>
      <c r="D18" s="5">
        <v>70000</v>
      </c>
      <c r="F18" s="23">
        <f t="shared" si="0"/>
        <v>0</v>
      </c>
      <c r="G18" s="23">
        <f t="shared" si="1"/>
        <v>-70000</v>
      </c>
      <c r="H18" s="23">
        <f>SUM(G14:G18)</f>
        <v>-590000</v>
      </c>
    </row>
    <row r="19" spans="1:9" x14ac:dyDescent="0.35">
      <c r="A19" s="4"/>
      <c r="B19" s="5"/>
      <c r="C19" s="5"/>
      <c r="D19" s="5"/>
      <c r="F19" s="23">
        <f t="shared" si="0"/>
        <v>0</v>
      </c>
      <c r="G19" s="23">
        <f t="shared" si="1"/>
        <v>0</v>
      </c>
    </row>
    <row r="20" spans="1:9" x14ac:dyDescent="0.35">
      <c r="A20" s="4"/>
      <c r="B20" s="5"/>
      <c r="C20" s="5"/>
      <c r="D20" s="5"/>
      <c r="F20" s="23">
        <f t="shared" si="0"/>
        <v>0</v>
      </c>
      <c r="G20" s="23">
        <f t="shared" si="1"/>
        <v>0</v>
      </c>
    </row>
    <row r="21" spans="1:9" ht="15.5" x14ac:dyDescent="0.35">
      <c r="A21" s="6" t="s">
        <v>54</v>
      </c>
      <c r="B21" s="7">
        <f>SUM(B5:B20)</f>
        <v>3102500</v>
      </c>
      <c r="C21" s="7">
        <f t="shared" ref="C21:D21" si="2">SUM(C5:C20)</f>
        <v>2000000</v>
      </c>
      <c r="D21" s="7">
        <f t="shared" si="2"/>
        <v>931000</v>
      </c>
      <c r="F21" s="23">
        <f t="shared" si="0"/>
        <v>1102500</v>
      </c>
      <c r="G21" s="23">
        <f>+B21-D21</f>
        <v>2171500</v>
      </c>
      <c r="I21" s="23"/>
    </row>
    <row r="22" spans="1:9" ht="15.5" x14ac:dyDescent="0.35">
      <c r="A22" s="24"/>
      <c r="B22" s="25"/>
      <c r="C22" s="25"/>
      <c r="D22" s="25"/>
      <c r="F22" s="22">
        <f>+(F21)*6</f>
        <v>6615000</v>
      </c>
      <c r="G22" s="22">
        <f>+G21*6</f>
        <v>13029000</v>
      </c>
    </row>
    <row r="23" spans="1:9" x14ac:dyDescent="0.35">
      <c r="A23" s="8"/>
      <c r="B23" s="4"/>
      <c r="C23" s="4"/>
      <c r="D23" s="4"/>
    </row>
    <row r="24" spans="1:9" x14ac:dyDescent="0.35">
      <c r="A24" s="103" t="s">
        <v>55</v>
      </c>
      <c r="B24" s="103"/>
      <c r="C24" s="103"/>
      <c r="D24" s="103"/>
    </row>
    <row r="25" spans="1:9" x14ac:dyDescent="0.35">
      <c r="A25" s="4" t="s">
        <v>56</v>
      </c>
      <c r="B25" s="4"/>
      <c r="C25" s="4"/>
      <c r="D25" s="4"/>
    </row>
    <row r="26" spans="1:9" x14ac:dyDescent="0.35">
      <c r="A26" s="4"/>
      <c r="B26" s="4"/>
      <c r="C26" s="4"/>
      <c r="D26" s="4"/>
    </row>
    <row r="27" spans="1:9" x14ac:dyDescent="0.35">
      <c r="A27" s="9" t="s">
        <v>57</v>
      </c>
      <c r="B27" s="4"/>
      <c r="C27" s="4"/>
      <c r="D27" s="4"/>
    </row>
    <row r="28" spans="1:9" x14ac:dyDescent="0.35">
      <c r="A28" s="104" t="s">
        <v>58</v>
      </c>
      <c r="B28" s="104"/>
      <c r="C28" s="104"/>
      <c r="D28" s="104"/>
    </row>
    <row r="29" spans="1:9" x14ac:dyDescent="0.35">
      <c r="A29" s="4" t="s">
        <v>59</v>
      </c>
      <c r="B29" s="4"/>
      <c r="C29" s="4"/>
      <c r="D29" s="4"/>
    </row>
    <row r="30" spans="1:9" x14ac:dyDescent="0.35">
      <c r="A30" s="4" t="s">
        <v>60</v>
      </c>
      <c r="B30" s="4"/>
      <c r="C30" s="4"/>
      <c r="D30" s="4"/>
    </row>
    <row r="31" spans="1:9" x14ac:dyDescent="0.35">
      <c r="A31" s="4" t="s">
        <v>61</v>
      </c>
      <c r="B31" s="4"/>
      <c r="C31" s="4"/>
      <c r="D31" s="4"/>
    </row>
    <row r="32" spans="1:9" x14ac:dyDescent="0.35">
      <c r="A32" s="4"/>
      <c r="B32" s="4"/>
      <c r="C32" s="4"/>
      <c r="D32" s="4"/>
    </row>
    <row r="33" spans="1:4" x14ac:dyDescent="0.35">
      <c r="A33" s="4"/>
      <c r="B33" s="4"/>
      <c r="C33" s="4"/>
      <c r="D33" s="4"/>
    </row>
    <row r="34" spans="1:4" x14ac:dyDescent="0.35">
      <c r="A34" s="4"/>
      <c r="B34" s="4"/>
      <c r="C34" s="4"/>
      <c r="D34" s="4"/>
    </row>
    <row r="35" spans="1:4" x14ac:dyDescent="0.35">
      <c r="A35" s="4"/>
      <c r="B35" s="4"/>
      <c r="C35" s="4"/>
      <c r="D35" s="4"/>
    </row>
    <row r="36" spans="1:4" x14ac:dyDescent="0.35">
      <c r="A36" s="4"/>
      <c r="B36" s="4"/>
      <c r="C36" s="4"/>
      <c r="D36" s="4"/>
    </row>
    <row r="37" spans="1:4" x14ac:dyDescent="0.35">
      <c r="A37" s="4"/>
      <c r="B37" s="4"/>
      <c r="C37" s="4"/>
      <c r="D37" s="4"/>
    </row>
    <row r="38" spans="1:4" x14ac:dyDescent="0.35">
      <c r="A38" s="4"/>
      <c r="B38" s="4"/>
      <c r="C38" s="4"/>
      <c r="D38" s="4"/>
    </row>
    <row r="39" spans="1:4" x14ac:dyDescent="0.35">
      <c r="A39" s="4"/>
      <c r="B39" s="4"/>
      <c r="C39" s="4"/>
      <c r="D39" s="4"/>
    </row>
    <row r="40" spans="1:4" x14ac:dyDescent="0.35">
      <c r="A40" s="4"/>
      <c r="B40" s="4"/>
      <c r="C40" s="4"/>
      <c r="D40" s="4"/>
    </row>
    <row r="41" spans="1:4" x14ac:dyDescent="0.35">
      <c r="A41" s="4"/>
      <c r="B41" s="4"/>
      <c r="C41" s="4"/>
      <c r="D41" s="4"/>
    </row>
    <row r="42" spans="1:4" x14ac:dyDescent="0.35">
      <c r="A42" s="4"/>
      <c r="B42" s="4"/>
      <c r="C42" s="4"/>
      <c r="D42" s="4"/>
    </row>
    <row r="43" spans="1:4" x14ac:dyDescent="0.35">
      <c r="A43" s="4"/>
      <c r="B43" s="4"/>
      <c r="C43" s="4"/>
      <c r="D43" s="4"/>
    </row>
    <row r="44" spans="1:4" x14ac:dyDescent="0.35">
      <c r="A44" s="4"/>
      <c r="B44" s="4"/>
      <c r="C44" s="4"/>
      <c r="D44" s="4"/>
    </row>
    <row r="45" spans="1:4" x14ac:dyDescent="0.35">
      <c r="A45" s="4"/>
      <c r="B45" s="4"/>
      <c r="C45" s="4"/>
      <c r="D45" s="4"/>
    </row>
    <row r="46" spans="1:4" x14ac:dyDescent="0.35">
      <c r="A46" s="4"/>
      <c r="B46" s="4"/>
      <c r="C46" s="4"/>
      <c r="D46" s="4"/>
    </row>
    <row r="47" spans="1:4" x14ac:dyDescent="0.35">
      <c r="A47" s="4"/>
      <c r="B47" s="4"/>
      <c r="C47" s="4"/>
      <c r="D47" s="4"/>
    </row>
    <row r="48" spans="1:4" x14ac:dyDescent="0.35">
      <c r="A48" s="4"/>
      <c r="B48" s="4"/>
      <c r="C48" s="4"/>
      <c r="D48" s="4"/>
    </row>
    <row r="49" spans="1:4" x14ac:dyDescent="0.35">
      <c r="A49" s="4"/>
      <c r="B49" s="4"/>
      <c r="C49" s="4"/>
      <c r="D49" s="4"/>
    </row>
    <row r="50" spans="1:4" x14ac:dyDescent="0.35">
      <c r="A50" s="4"/>
      <c r="B50" s="4"/>
      <c r="C50" s="4"/>
      <c r="D50" s="4"/>
    </row>
    <row r="51" spans="1:4" x14ac:dyDescent="0.35">
      <c r="A51" s="4"/>
      <c r="B51" s="4"/>
      <c r="C51" s="4"/>
      <c r="D51" s="4"/>
    </row>
    <row r="52" spans="1:4" x14ac:dyDescent="0.35">
      <c r="A52" s="4"/>
      <c r="B52" s="4"/>
      <c r="C52" s="4"/>
      <c r="D52" s="4"/>
    </row>
    <row r="53" spans="1:4" x14ac:dyDescent="0.35">
      <c r="A53" s="4"/>
      <c r="B53" s="4"/>
      <c r="C53" s="4"/>
      <c r="D53" s="4"/>
    </row>
    <row r="54" spans="1:4" x14ac:dyDescent="0.35">
      <c r="A54" s="4"/>
      <c r="B54" s="4"/>
      <c r="C54" s="4"/>
      <c r="D54" s="4"/>
    </row>
    <row r="55" spans="1:4" x14ac:dyDescent="0.35">
      <c r="A55" s="4"/>
      <c r="B55" s="4"/>
      <c r="C55" s="4"/>
      <c r="D55" s="4"/>
    </row>
    <row r="56" spans="1:4" x14ac:dyDescent="0.35">
      <c r="A56" s="4"/>
      <c r="B56" s="4"/>
      <c r="C56" s="4"/>
      <c r="D56" s="4"/>
    </row>
    <row r="57" spans="1:4" x14ac:dyDescent="0.35">
      <c r="A57" s="4"/>
      <c r="B57" s="4"/>
      <c r="C57" s="4"/>
      <c r="D57" s="4"/>
    </row>
    <row r="58" spans="1:4" x14ac:dyDescent="0.35">
      <c r="A58" s="4"/>
      <c r="B58" s="4"/>
      <c r="C58" s="4"/>
      <c r="D58" s="4"/>
    </row>
    <row r="59" spans="1:4" x14ac:dyDescent="0.35">
      <c r="A59" s="4"/>
      <c r="B59" s="4"/>
      <c r="C59" s="4"/>
      <c r="D59" s="4"/>
    </row>
    <row r="60" spans="1:4" x14ac:dyDescent="0.35">
      <c r="A60" s="4"/>
      <c r="B60" s="4"/>
      <c r="C60" s="4"/>
      <c r="D60" s="4"/>
    </row>
    <row r="61" spans="1:4" x14ac:dyDescent="0.35">
      <c r="A61" s="4"/>
      <c r="B61" s="4"/>
      <c r="C61" s="4"/>
      <c r="D61" s="4"/>
    </row>
    <row r="62" spans="1:4" x14ac:dyDescent="0.35">
      <c r="A62" s="4"/>
      <c r="B62" s="4"/>
      <c r="C62" s="4"/>
      <c r="D62" s="4"/>
    </row>
    <row r="63" spans="1:4" x14ac:dyDescent="0.35">
      <c r="A63" s="4"/>
      <c r="B63" s="4"/>
      <c r="C63" s="4"/>
      <c r="D63" s="4"/>
    </row>
    <row r="64" spans="1:4" x14ac:dyDescent="0.35">
      <c r="A64" s="4"/>
      <c r="B64" s="4"/>
      <c r="C64" s="4"/>
      <c r="D64" s="4"/>
    </row>
    <row r="65" spans="1:4" x14ac:dyDescent="0.35">
      <c r="A65" s="4"/>
      <c r="B65" s="4"/>
      <c r="C65" s="4"/>
      <c r="D65" s="4"/>
    </row>
    <row r="66" spans="1:4" x14ac:dyDescent="0.35">
      <c r="A66" s="4"/>
      <c r="B66" s="4"/>
      <c r="C66" s="4"/>
      <c r="D66" s="4"/>
    </row>
    <row r="67" spans="1:4" x14ac:dyDescent="0.35">
      <c r="A67" s="4"/>
      <c r="B67" s="4"/>
      <c r="C67" s="4"/>
      <c r="D67" s="4"/>
    </row>
    <row r="68" spans="1:4" x14ac:dyDescent="0.35">
      <c r="A68" s="4"/>
      <c r="B68" s="4"/>
      <c r="C68" s="4"/>
      <c r="D68" s="4"/>
    </row>
    <row r="69" spans="1:4" x14ac:dyDescent="0.35">
      <c r="A69" s="4"/>
      <c r="B69" s="4"/>
      <c r="C69" s="4"/>
      <c r="D69" s="4"/>
    </row>
    <row r="70" spans="1:4" x14ac:dyDescent="0.35">
      <c r="A70" s="4"/>
      <c r="B70" s="4"/>
      <c r="C70" s="4"/>
      <c r="D70" s="4"/>
    </row>
    <row r="71" spans="1:4" x14ac:dyDescent="0.35">
      <c r="A71" s="4"/>
      <c r="B71" s="4"/>
      <c r="C71" s="4"/>
      <c r="D71" s="4"/>
    </row>
    <row r="72" spans="1:4" x14ac:dyDescent="0.35">
      <c r="A72" s="4"/>
      <c r="B72" s="4"/>
      <c r="C72" s="4"/>
      <c r="D72" s="4"/>
    </row>
    <row r="73" spans="1:4" x14ac:dyDescent="0.35">
      <c r="A73" s="4"/>
      <c r="B73" s="4"/>
      <c r="C73" s="4"/>
      <c r="D73" s="4"/>
    </row>
    <row r="74" spans="1:4" x14ac:dyDescent="0.35">
      <c r="A74" s="4"/>
      <c r="B74" s="4"/>
      <c r="C74" s="4"/>
      <c r="D74" s="4"/>
    </row>
    <row r="75" spans="1:4" x14ac:dyDescent="0.35">
      <c r="A75" s="4"/>
      <c r="B75" s="4"/>
      <c r="C75" s="4"/>
      <c r="D75" s="4"/>
    </row>
    <row r="76" spans="1:4" x14ac:dyDescent="0.35">
      <c r="A76" s="4"/>
      <c r="B76" s="4"/>
      <c r="C76" s="4"/>
      <c r="D76" s="4"/>
    </row>
    <row r="77" spans="1:4" x14ac:dyDescent="0.35">
      <c r="A77" s="4"/>
      <c r="B77" s="4"/>
      <c r="C77" s="4"/>
      <c r="D77" s="4"/>
    </row>
    <row r="78" spans="1:4" x14ac:dyDescent="0.35">
      <c r="A78" s="4"/>
      <c r="B78" s="4"/>
      <c r="C78" s="4"/>
      <c r="D78" s="4"/>
    </row>
    <row r="79" spans="1:4" x14ac:dyDescent="0.35">
      <c r="A79" s="4"/>
      <c r="B79" s="4"/>
      <c r="C79" s="4"/>
      <c r="D79" s="4"/>
    </row>
    <row r="80" spans="1:4" x14ac:dyDescent="0.35">
      <c r="A80" s="4"/>
      <c r="B80" s="4"/>
      <c r="C80" s="4"/>
      <c r="D80" s="4"/>
    </row>
    <row r="81" spans="1:4" x14ac:dyDescent="0.35">
      <c r="A81" s="4"/>
      <c r="B81" s="4"/>
      <c r="C81" s="4"/>
      <c r="D81" s="4"/>
    </row>
    <row r="82" spans="1:4" x14ac:dyDescent="0.35">
      <c r="A82" s="4"/>
      <c r="B82" s="4"/>
      <c r="C82" s="4"/>
      <c r="D82" s="4"/>
    </row>
    <row r="83" spans="1:4" x14ac:dyDescent="0.35">
      <c r="A83" s="4"/>
      <c r="B83" s="4"/>
      <c r="C83" s="4"/>
      <c r="D83" s="4"/>
    </row>
    <row r="84" spans="1:4" x14ac:dyDescent="0.35">
      <c r="A84" s="4"/>
      <c r="B84" s="4"/>
      <c r="C84" s="4"/>
      <c r="D84" s="4"/>
    </row>
    <row r="85" spans="1:4" x14ac:dyDescent="0.35">
      <c r="A85" s="4"/>
      <c r="B85" s="4"/>
      <c r="C85" s="4"/>
      <c r="D85" s="4"/>
    </row>
    <row r="86" spans="1:4" x14ac:dyDescent="0.35">
      <c r="A86" s="4"/>
      <c r="B86" s="4"/>
      <c r="C86" s="4"/>
      <c r="D86" s="4"/>
    </row>
    <row r="87" spans="1:4" x14ac:dyDescent="0.35">
      <c r="A87" s="4"/>
      <c r="B87" s="4"/>
      <c r="C87" s="4"/>
      <c r="D87" s="4"/>
    </row>
    <row r="88" spans="1:4" x14ac:dyDescent="0.35">
      <c r="A88" s="4"/>
      <c r="B88" s="4"/>
      <c r="C88" s="4"/>
      <c r="D88" s="4"/>
    </row>
    <row r="89" spans="1:4" x14ac:dyDescent="0.35">
      <c r="A89" s="4"/>
      <c r="B89" s="4"/>
      <c r="C89" s="4"/>
      <c r="D89" s="4"/>
    </row>
    <row r="90" spans="1:4" x14ac:dyDescent="0.35">
      <c r="A90" s="4"/>
      <c r="B90" s="4"/>
      <c r="C90" s="4"/>
      <c r="D90" s="4"/>
    </row>
    <row r="91" spans="1:4" x14ac:dyDescent="0.35">
      <c r="A91" s="4"/>
      <c r="B91" s="4"/>
      <c r="C91" s="4"/>
      <c r="D91" s="4"/>
    </row>
    <row r="92" spans="1:4" x14ac:dyDescent="0.35">
      <c r="A92" s="4"/>
      <c r="B92" s="4"/>
      <c r="C92" s="4"/>
      <c r="D92" s="4"/>
    </row>
    <row r="93" spans="1:4" x14ac:dyDescent="0.35">
      <c r="A93" s="4"/>
      <c r="B93" s="4"/>
      <c r="C93" s="4"/>
      <c r="D93" s="4"/>
    </row>
    <row r="94" spans="1:4" x14ac:dyDescent="0.35">
      <c r="A94" s="4"/>
      <c r="B94" s="4"/>
      <c r="C94" s="4"/>
      <c r="D94" s="4"/>
    </row>
    <row r="95" spans="1:4" x14ac:dyDescent="0.35">
      <c r="A95" s="4"/>
      <c r="B95" s="4"/>
      <c r="C95" s="4"/>
      <c r="D95" s="4"/>
    </row>
    <row r="96" spans="1:4" x14ac:dyDescent="0.35">
      <c r="A96" s="4"/>
      <c r="B96" s="4"/>
      <c r="C96" s="4"/>
      <c r="D96" s="4"/>
    </row>
    <row r="97" spans="1:4" x14ac:dyDescent="0.35">
      <c r="A97" s="4"/>
      <c r="B97" s="4"/>
      <c r="C97" s="4"/>
      <c r="D97" s="4"/>
    </row>
    <row r="98" spans="1:4" x14ac:dyDescent="0.35">
      <c r="A98" s="4"/>
      <c r="B98" s="4"/>
      <c r="C98" s="4"/>
      <c r="D98" s="4"/>
    </row>
    <row r="99" spans="1:4" x14ac:dyDescent="0.35">
      <c r="A99" s="4"/>
      <c r="B99" s="4"/>
      <c r="C99" s="4"/>
      <c r="D99" s="4"/>
    </row>
    <row r="100" spans="1:4" x14ac:dyDescent="0.35">
      <c r="A100" s="4"/>
      <c r="B100" s="4"/>
      <c r="C100" s="4"/>
      <c r="D100" s="4"/>
    </row>
    <row r="101" spans="1:4" x14ac:dyDescent="0.35">
      <c r="A101" s="4"/>
      <c r="B101" s="4"/>
      <c r="C101" s="4"/>
      <c r="D101" s="4"/>
    </row>
    <row r="102" spans="1:4" x14ac:dyDescent="0.35">
      <c r="A102" s="4"/>
      <c r="B102" s="4"/>
      <c r="C102" s="4"/>
      <c r="D102" s="4"/>
    </row>
    <row r="103" spans="1:4" x14ac:dyDescent="0.35">
      <c r="A103" s="4"/>
      <c r="B103" s="4"/>
      <c r="C103" s="4"/>
      <c r="D103" s="4"/>
    </row>
    <row r="104" spans="1:4" x14ac:dyDescent="0.35">
      <c r="A104" s="4"/>
      <c r="B104" s="4"/>
      <c r="C104" s="4"/>
      <c r="D104" s="4"/>
    </row>
    <row r="105" spans="1:4" x14ac:dyDescent="0.35">
      <c r="A105" s="4"/>
      <c r="B105" s="4"/>
      <c r="C105" s="4"/>
      <c r="D105" s="4"/>
    </row>
    <row r="106" spans="1:4" x14ac:dyDescent="0.35">
      <c r="A106" s="4"/>
      <c r="B106" s="4"/>
      <c r="C106" s="4"/>
      <c r="D106" s="4"/>
    </row>
    <row r="107" spans="1:4" x14ac:dyDescent="0.35">
      <c r="A107" s="4"/>
      <c r="B107" s="4"/>
      <c r="C107" s="4"/>
      <c r="D107" s="4"/>
    </row>
    <row r="108" spans="1:4" x14ac:dyDescent="0.35">
      <c r="A108" s="4"/>
      <c r="B108" s="4"/>
      <c r="C108" s="4"/>
      <c r="D108" s="4"/>
    </row>
    <row r="109" spans="1:4" x14ac:dyDescent="0.35">
      <c r="A109" s="4"/>
      <c r="B109" s="4"/>
      <c r="C109" s="4"/>
      <c r="D109" s="4"/>
    </row>
    <row r="110" spans="1:4" x14ac:dyDescent="0.35">
      <c r="A110" s="4"/>
      <c r="B110" s="4"/>
      <c r="C110" s="4"/>
      <c r="D110" s="4"/>
    </row>
    <row r="111" spans="1:4" x14ac:dyDescent="0.35">
      <c r="A111" s="4"/>
      <c r="B111" s="4"/>
      <c r="C111" s="4"/>
      <c r="D111" s="4"/>
    </row>
    <row r="112" spans="1:4" x14ac:dyDescent="0.35">
      <c r="A112" s="4"/>
      <c r="B112" s="4"/>
      <c r="C112" s="4"/>
      <c r="D112" s="4"/>
    </row>
    <row r="113" spans="1:4" x14ac:dyDescent="0.35">
      <c r="A113" s="4"/>
      <c r="B113" s="4"/>
      <c r="C113" s="4"/>
      <c r="D113" s="4"/>
    </row>
    <row r="114" spans="1:4" x14ac:dyDescent="0.35">
      <c r="A114" s="4"/>
      <c r="B114" s="4"/>
      <c r="C114" s="4"/>
      <c r="D114" s="4"/>
    </row>
    <row r="115" spans="1:4" x14ac:dyDescent="0.35">
      <c r="A115" s="4"/>
      <c r="B115" s="4"/>
      <c r="C115" s="4"/>
      <c r="D115" s="4"/>
    </row>
    <row r="116" spans="1:4" x14ac:dyDescent="0.35">
      <c r="A116" s="4"/>
      <c r="B116" s="4"/>
      <c r="C116" s="4"/>
      <c r="D116" s="4"/>
    </row>
    <row r="117" spans="1:4" x14ac:dyDescent="0.35">
      <c r="A117" s="4"/>
      <c r="B117" s="4"/>
      <c r="C117" s="4"/>
      <c r="D117" s="4"/>
    </row>
    <row r="118" spans="1:4" x14ac:dyDescent="0.35">
      <c r="A118" s="4"/>
      <c r="B118" s="4"/>
      <c r="C118" s="4"/>
      <c r="D118" s="4"/>
    </row>
    <row r="119" spans="1:4" x14ac:dyDescent="0.35">
      <c r="A119" s="4"/>
      <c r="B119" s="4"/>
      <c r="C119" s="4"/>
      <c r="D119" s="4"/>
    </row>
    <row r="120" spans="1:4" x14ac:dyDescent="0.35">
      <c r="A120" s="4"/>
      <c r="B120" s="4"/>
      <c r="C120" s="4"/>
      <c r="D120" s="4"/>
    </row>
    <row r="121" spans="1:4" x14ac:dyDescent="0.35">
      <c r="A121" s="4"/>
      <c r="B121" s="4"/>
      <c r="C121" s="4"/>
      <c r="D121" s="4"/>
    </row>
    <row r="122" spans="1:4" x14ac:dyDescent="0.35">
      <c r="A122" s="4"/>
      <c r="B122" s="4"/>
      <c r="C122" s="4"/>
      <c r="D122" s="4"/>
    </row>
    <row r="123" spans="1:4" x14ac:dyDescent="0.35">
      <c r="A123" s="4"/>
      <c r="B123" s="4"/>
      <c r="C123" s="4"/>
      <c r="D123" s="4"/>
    </row>
    <row r="124" spans="1:4" x14ac:dyDescent="0.35">
      <c r="A124" s="4"/>
      <c r="B124" s="4"/>
      <c r="C124" s="4"/>
      <c r="D124" s="4"/>
    </row>
    <row r="125" spans="1:4" x14ac:dyDescent="0.35">
      <c r="A125" s="4"/>
      <c r="B125" s="4"/>
      <c r="C125" s="4"/>
      <c r="D125" s="4"/>
    </row>
  </sheetData>
  <mergeCells count="5">
    <mergeCell ref="A1:D1"/>
    <mergeCell ref="A3:A4"/>
    <mergeCell ref="B3:D3"/>
    <mergeCell ref="A24:D24"/>
    <mergeCell ref="A28:D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A8F4B-4723-4264-A151-5613E370D7FC}">
  <dimension ref="A1:X53"/>
  <sheetViews>
    <sheetView showGridLines="0" tabSelected="1" workbookViewId="0">
      <selection activeCell="L4" sqref="L4"/>
    </sheetView>
  </sheetViews>
  <sheetFormatPr baseColWidth="10" defaultColWidth="11.453125" defaultRowHeight="14.5" outlineLevelRow="1" x14ac:dyDescent="0.35"/>
  <cols>
    <col min="1" max="1" width="3.54296875" style="1" customWidth="1"/>
    <col min="2" max="2" width="11.453125" style="1"/>
    <col min="3" max="3" width="13.81640625" style="1" customWidth="1"/>
    <col min="4" max="4" width="11.453125" style="1"/>
    <col min="5" max="5" width="4.81640625" style="1" customWidth="1"/>
    <col min="6" max="6" width="4.1796875" style="1" customWidth="1"/>
    <col min="7" max="7" width="2.81640625" style="1" customWidth="1"/>
    <col min="8" max="8" width="16.26953125" style="1" customWidth="1"/>
    <col min="9" max="9" width="3.08984375" style="1" customWidth="1"/>
    <col min="10" max="10" width="18.54296875" style="1" customWidth="1"/>
    <col min="11" max="11" width="3.7265625" style="1" customWidth="1"/>
    <col min="12" max="12" width="17.26953125" style="1" customWidth="1"/>
    <col min="13" max="13" width="4.81640625" style="1" customWidth="1"/>
    <col min="14" max="14" width="17.54296875" style="1" bestFit="1" customWidth="1"/>
    <col min="15" max="15" width="3.26953125" style="1" customWidth="1"/>
    <col min="16" max="16" width="16.1796875" style="1" customWidth="1"/>
    <col min="17" max="17" width="6.1796875" style="1" customWidth="1"/>
    <col min="18" max="18" width="16.7265625" style="1" bestFit="1" customWidth="1"/>
    <col min="19" max="19" width="6.1796875" style="1" customWidth="1"/>
    <col min="20" max="20" width="15.54296875" style="1" bestFit="1" customWidth="1"/>
    <col min="21" max="21" width="6.1796875" style="1" customWidth="1"/>
    <col min="22" max="22" width="15.54296875" style="1" bestFit="1" customWidth="1"/>
    <col min="23" max="23" width="6.1796875" style="1" customWidth="1"/>
    <col min="24" max="24" width="15.54296875" style="1" bestFit="1" customWidth="1"/>
    <col min="25" max="16384" width="11.453125" style="1"/>
  </cols>
  <sheetData>
    <row r="1" spans="1:24" x14ac:dyDescent="0.35">
      <c r="A1" s="14"/>
      <c r="B1" s="108" t="s">
        <v>0</v>
      </c>
      <c r="C1" s="108"/>
      <c r="D1" s="108"/>
      <c r="E1" s="108"/>
      <c r="F1" s="108"/>
      <c r="G1" s="108"/>
      <c r="H1" s="108"/>
      <c r="I1" s="108"/>
    </row>
    <row r="2" spans="1:24" x14ac:dyDescent="0.35">
      <c r="A2" s="14"/>
      <c r="B2" s="108" t="s">
        <v>1</v>
      </c>
      <c r="C2" s="108"/>
      <c r="D2" s="108"/>
      <c r="E2" s="108"/>
      <c r="F2" s="108"/>
      <c r="G2" s="108"/>
      <c r="H2" s="108"/>
      <c r="I2" s="108"/>
      <c r="R2" s="52" t="s">
        <v>63</v>
      </c>
    </row>
    <row r="3" spans="1:24" ht="15" thickBot="1" x14ac:dyDescent="0.4">
      <c r="A3" s="14"/>
      <c r="B3" s="108" t="s">
        <v>2</v>
      </c>
      <c r="C3" s="108"/>
      <c r="D3" s="108"/>
      <c r="E3" s="108"/>
      <c r="F3" s="108"/>
      <c r="G3" s="108"/>
      <c r="H3" s="108"/>
      <c r="I3" s="108"/>
      <c r="R3" s="52" t="s">
        <v>64</v>
      </c>
    </row>
    <row r="4" spans="1:24" ht="29.5" thickBot="1" x14ac:dyDescent="0.4">
      <c r="A4" s="14"/>
      <c r="B4" s="108" t="s">
        <v>3</v>
      </c>
      <c r="C4" s="108"/>
      <c r="D4" s="108"/>
      <c r="E4" s="108"/>
      <c r="F4" s="108"/>
      <c r="G4" s="108"/>
      <c r="H4" s="108"/>
      <c r="I4" s="108"/>
      <c r="J4" s="67" t="s">
        <v>66</v>
      </c>
      <c r="L4" s="66" t="s">
        <v>64</v>
      </c>
      <c r="P4" s="66" t="s">
        <v>64</v>
      </c>
    </row>
    <row r="6" spans="1:24" ht="43.5" x14ac:dyDescent="0.35">
      <c r="B6" s="11" t="s">
        <v>4</v>
      </c>
      <c r="G6" s="16"/>
      <c r="H6" s="17" t="s">
        <v>67</v>
      </c>
      <c r="I6" s="16"/>
      <c r="J6" s="18" t="s">
        <v>5</v>
      </c>
      <c r="L6" s="50" t="s">
        <v>126</v>
      </c>
      <c r="M6" s="71"/>
      <c r="N6" s="18" t="s">
        <v>6</v>
      </c>
      <c r="P6" s="50" t="s">
        <v>127</v>
      </c>
      <c r="Q6" s="71"/>
      <c r="R6" s="75" t="s">
        <v>112</v>
      </c>
      <c r="S6" s="71"/>
      <c r="T6" s="75" t="s">
        <v>113</v>
      </c>
      <c r="U6" s="71"/>
      <c r="V6" s="75" t="s">
        <v>114</v>
      </c>
      <c r="W6" s="71"/>
      <c r="X6" s="75" t="s">
        <v>115</v>
      </c>
    </row>
    <row r="7" spans="1:24" hidden="1" outlineLevel="1" x14ac:dyDescent="0.35">
      <c r="B7" s="27" t="s">
        <v>7</v>
      </c>
      <c r="C7" s="27"/>
      <c r="D7" s="27"/>
      <c r="E7" s="27"/>
      <c r="F7" s="27"/>
      <c r="G7" s="53"/>
      <c r="H7" s="54">
        <v>1355243.6551999527</v>
      </c>
      <c r="I7" s="53"/>
      <c r="J7" s="54">
        <v>2612541.6660619555</v>
      </c>
      <c r="K7" s="54"/>
      <c r="L7" s="54">
        <v>2612541.6660619555</v>
      </c>
      <c r="M7" s="76"/>
      <c r="N7" s="54">
        <v>3869839.6769239581</v>
      </c>
      <c r="O7" s="54"/>
      <c r="P7" s="54">
        <f>+N7</f>
        <v>3869839.6769239581</v>
      </c>
      <c r="Q7" s="76"/>
      <c r="R7" s="76">
        <v>5146889</v>
      </c>
      <c r="S7" s="76"/>
      <c r="T7" s="76">
        <v>6975385</v>
      </c>
      <c r="U7" s="76"/>
      <c r="V7" s="76">
        <v>8181293</v>
      </c>
      <c r="W7" s="76"/>
      <c r="X7" s="76">
        <v>8544820</v>
      </c>
    </row>
    <row r="8" spans="1:24" hidden="1" outlineLevel="1" x14ac:dyDescent="0.35">
      <c r="B8" s="27" t="s">
        <v>8</v>
      </c>
      <c r="C8" s="27"/>
      <c r="D8" s="27"/>
      <c r="E8" s="27"/>
      <c r="F8" s="27"/>
      <c r="G8" s="53"/>
      <c r="H8" s="54">
        <v>86053077.367429003</v>
      </c>
      <c r="I8" s="53"/>
      <c r="J8" s="54">
        <v>238475393.75248528</v>
      </c>
      <c r="K8" s="54"/>
      <c r="L8" s="54">
        <v>238475393.75248528</v>
      </c>
      <c r="M8" s="76"/>
      <c r="N8" s="54">
        <v>299958324</v>
      </c>
      <c r="O8" s="54"/>
      <c r="P8" s="54">
        <f>+(N8+(L33-J33)*5%)</f>
        <v>300639774</v>
      </c>
      <c r="Q8" s="76"/>
      <c r="R8" s="76">
        <v>412337291</v>
      </c>
      <c r="S8" s="76"/>
      <c r="T8" s="76">
        <v>594975161</v>
      </c>
      <c r="U8" s="76"/>
      <c r="V8" s="76">
        <v>785868637</v>
      </c>
      <c r="W8" s="76"/>
      <c r="X8" s="76">
        <v>1038339928</v>
      </c>
    </row>
    <row r="9" spans="1:24" hidden="1" outlineLevel="1" x14ac:dyDescent="0.35">
      <c r="B9" s="27" t="s">
        <v>9</v>
      </c>
      <c r="C9" s="27"/>
      <c r="D9" s="27"/>
      <c r="E9" s="27"/>
      <c r="F9" s="27"/>
      <c r="G9" s="53"/>
      <c r="H9" s="54">
        <v>710485.98083888006</v>
      </c>
      <c r="I9" s="53"/>
      <c r="J9" s="54">
        <v>710485.98083888006</v>
      </c>
      <c r="K9" s="54"/>
      <c r="L9" s="54">
        <v>710485.98083888006</v>
      </c>
      <c r="M9" s="76"/>
      <c r="N9" s="54">
        <v>710485.98083888006</v>
      </c>
      <c r="O9" s="54"/>
      <c r="P9" s="54">
        <f>+N9</f>
        <v>710485.98083888006</v>
      </c>
      <c r="Q9" s="76"/>
      <c r="R9" s="76">
        <v>710486</v>
      </c>
      <c r="S9" s="76"/>
      <c r="T9" s="76">
        <v>710486</v>
      </c>
      <c r="U9" s="76"/>
      <c r="V9" s="76">
        <v>710486</v>
      </c>
      <c r="W9" s="76"/>
      <c r="X9" s="76">
        <v>710486</v>
      </c>
    </row>
    <row r="10" spans="1:24" hidden="1" outlineLevel="1" x14ac:dyDescent="0.35">
      <c r="B10" s="27" t="s">
        <v>10</v>
      </c>
      <c r="C10" s="27"/>
      <c r="D10" s="27"/>
      <c r="E10" s="27"/>
      <c r="F10" s="27"/>
      <c r="G10" s="27"/>
      <c r="H10" s="27"/>
      <c r="I10" s="27"/>
      <c r="J10" s="55">
        <v>35000000</v>
      </c>
      <c r="K10" s="27"/>
      <c r="L10" s="55">
        <v>35000000</v>
      </c>
      <c r="M10" s="77"/>
      <c r="N10" s="27"/>
      <c r="O10" s="27"/>
      <c r="P10" s="27"/>
      <c r="Q10" s="77"/>
      <c r="R10" s="77"/>
      <c r="S10" s="77"/>
      <c r="T10" s="77"/>
      <c r="U10" s="77"/>
      <c r="V10" s="77"/>
      <c r="W10" s="77"/>
      <c r="X10" s="77"/>
    </row>
    <row r="11" spans="1:24" collapsed="1" x14ac:dyDescent="0.35">
      <c r="B11" s="56" t="s">
        <v>11</v>
      </c>
      <c r="C11" s="27"/>
      <c r="D11" s="27"/>
      <c r="E11" s="27"/>
      <c r="F11" s="27"/>
      <c r="G11" s="57"/>
      <c r="H11" s="58">
        <f>SUM(H7:H9)</f>
        <v>88118807.003467843</v>
      </c>
      <c r="I11" s="57"/>
      <c r="J11" s="58">
        <f>SUM(J7:J10)</f>
        <v>276798421.39938617</v>
      </c>
      <c r="K11" s="58"/>
      <c r="L11" s="58">
        <f>SUM(L7:L10)</f>
        <v>276798421.39938617</v>
      </c>
      <c r="M11" s="73"/>
      <c r="N11" s="58">
        <f>SUM(N7:N10)</f>
        <v>304538649.65776283</v>
      </c>
      <c r="O11" s="58"/>
      <c r="P11" s="58">
        <f>SUM(P7:P10)</f>
        <v>305220099.65776283</v>
      </c>
      <c r="Q11" s="73"/>
      <c r="R11" s="58">
        <f>SUM(R7:R10)</f>
        <v>418194666</v>
      </c>
      <c r="S11" s="73"/>
      <c r="T11" s="58">
        <f>SUM(T7:T10)</f>
        <v>602661032</v>
      </c>
      <c r="U11" s="73"/>
      <c r="V11" s="58">
        <f>SUM(V7:V10)</f>
        <v>794760416</v>
      </c>
      <c r="W11" s="73"/>
      <c r="X11" s="58">
        <f>SUM(X7:X10)</f>
        <v>1047595234</v>
      </c>
    </row>
    <row r="12" spans="1:24" x14ac:dyDescent="0.35">
      <c r="B12" s="56" t="s">
        <v>12</v>
      </c>
      <c r="C12" s="27"/>
      <c r="D12" s="27"/>
      <c r="E12" s="27"/>
      <c r="F12" s="27"/>
      <c r="G12" s="53"/>
      <c r="H12" s="54"/>
      <c r="I12" s="53"/>
      <c r="J12" s="27"/>
      <c r="K12" s="27"/>
      <c r="L12" s="27"/>
      <c r="M12" s="71"/>
      <c r="N12" s="27"/>
      <c r="O12" s="27"/>
      <c r="P12" s="27"/>
      <c r="Q12" s="71"/>
      <c r="R12" s="71"/>
      <c r="S12" s="71"/>
      <c r="T12" s="71"/>
      <c r="U12" s="71"/>
      <c r="V12" s="71"/>
      <c r="W12" s="71"/>
      <c r="X12" s="71"/>
    </row>
    <row r="13" spans="1:24" hidden="1" outlineLevel="1" x14ac:dyDescent="0.35">
      <c r="B13" s="27" t="s">
        <v>13</v>
      </c>
      <c r="C13" s="27"/>
      <c r="D13" s="27"/>
      <c r="E13" s="27"/>
      <c r="F13" s="27"/>
      <c r="G13" s="53"/>
      <c r="H13" s="54">
        <v>0</v>
      </c>
      <c r="I13" s="53"/>
      <c r="J13" s="59">
        <v>0</v>
      </c>
      <c r="K13" s="27"/>
      <c r="L13" s="59">
        <v>0</v>
      </c>
      <c r="M13" s="71"/>
      <c r="N13" s="27"/>
      <c r="O13" s="27"/>
      <c r="P13" s="27"/>
      <c r="Q13" s="71"/>
      <c r="R13" s="71"/>
      <c r="S13" s="71"/>
      <c r="T13" s="71"/>
      <c r="U13" s="71"/>
      <c r="V13" s="71"/>
      <c r="W13" s="71"/>
      <c r="X13" s="71"/>
    </row>
    <row r="14" spans="1:24" hidden="1" outlineLevel="1" x14ac:dyDescent="0.35">
      <c r="B14" s="27" t="s">
        <v>14</v>
      </c>
      <c r="C14" s="27"/>
      <c r="D14" s="27"/>
      <c r="E14" s="27"/>
      <c r="F14" s="27"/>
      <c r="G14" s="53"/>
      <c r="H14" s="54">
        <v>1432759.5169156641</v>
      </c>
      <c r="I14" s="53"/>
      <c r="J14" s="54">
        <v>1432759.5169156641</v>
      </c>
      <c r="K14" s="54"/>
      <c r="L14" s="54">
        <v>1432759.5169156641</v>
      </c>
      <c r="M14" s="76"/>
      <c r="N14" s="54">
        <v>1432759.5169156641</v>
      </c>
      <c r="O14" s="54"/>
      <c r="P14" s="54">
        <f>+N14</f>
        <v>1432759.5169156641</v>
      </c>
      <c r="Q14" s="76"/>
      <c r="R14" s="76">
        <v>1432759.5169156641</v>
      </c>
      <c r="S14" s="76"/>
      <c r="T14" s="76">
        <v>1432759.5169156641</v>
      </c>
      <c r="U14" s="76"/>
      <c r="V14" s="76">
        <v>1432759.5169156641</v>
      </c>
      <c r="W14" s="76"/>
      <c r="X14" s="76">
        <v>1432759.5169156641</v>
      </c>
    </row>
    <row r="15" spans="1:24" hidden="1" outlineLevel="1" x14ac:dyDescent="0.35">
      <c r="B15" s="27" t="s">
        <v>15</v>
      </c>
      <c r="C15" s="27"/>
      <c r="D15" s="27"/>
      <c r="E15" s="27"/>
      <c r="F15" s="27"/>
      <c r="G15" s="53"/>
      <c r="H15" s="54"/>
      <c r="I15" s="53"/>
      <c r="J15" s="54">
        <v>0</v>
      </c>
      <c r="K15" s="54"/>
      <c r="L15" s="54">
        <v>0</v>
      </c>
      <c r="M15" s="76"/>
      <c r="N15" s="54">
        <v>0</v>
      </c>
      <c r="O15" s="54"/>
      <c r="P15" s="54">
        <f t="shared" ref="P15:P16" si="0">+N15</f>
        <v>0</v>
      </c>
      <c r="Q15" s="76"/>
      <c r="R15" s="76">
        <v>0</v>
      </c>
      <c r="S15" s="76"/>
      <c r="T15" s="76">
        <v>0</v>
      </c>
      <c r="U15" s="76"/>
      <c r="V15" s="76">
        <v>0</v>
      </c>
      <c r="W15" s="76"/>
      <c r="X15" s="76">
        <v>0</v>
      </c>
    </row>
    <row r="16" spans="1:24" hidden="1" outlineLevel="1" x14ac:dyDescent="0.35">
      <c r="B16" s="27" t="s">
        <v>16</v>
      </c>
      <c r="C16" s="27"/>
      <c r="D16" s="27"/>
      <c r="E16" s="27"/>
      <c r="F16" s="27"/>
      <c r="G16" s="53"/>
      <c r="H16" s="54">
        <v>34432.160000000003</v>
      </c>
      <c r="I16" s="53"/>
      <c r="J16" s="54">
        <v>68864.320000000007</v>
      </c>
      <c r="K16" s="54"/>
      <c r="L16" s="54">
        <v>68864.320000000007</v>
      </c>
      <c r="M16" s="76"/>
      <c r="N16" s="54">
        <v>137728.64000000001</v>
      </c>
      <c r="O16" s="54"/>
      <c r="P16" s="54">
        <f t="shared" si="0"/>
        <v>137728.64000000001</v>
      </c>
      <c r="Q16" s="76"/>
      <c r="R16" s="76">
        <v>275457.28000000003</v>
      </c>
      <c r="S16" s="76"/>
      <c r="T16" s="76">
        <v>550914.56000000006</v>
      </c>
      <c r="U16" s="76"/>
      <c r="V16" s="76">
        <v>1101829.1200000001</v>
      </c>
      <c r="W16" s="76"/>
      <c r="X16" s="76">
        <v>2203658.2400000002</v>
      </c>
    </row>
    <row r="17" spans="2:24" collapsed="1" x14ac:dyDescent="0.35">
      <c r="B17" s="56" t="s">
        <v>17</v>
      </c>
      <c r="C17" s="27"/>
      <c r="D17" s="27"/>
      <c r="E17" s="27"/>
      <c r="F17" s="27"/>
      <c r="G17" s="57"/>
      <c r="H17" s="58">
        <f>SUM(H13:H16)</f>
        <v>1467191.676915664</v>
      </c>
      <c r="I17" s="57"/>
      <c r="J17" s="58">
        <f>SUM(J13:J16)</f>
        <v>1501623.8369156641</v>
      </c>
      <c r="K17" s="27"/>
      <c r="L17" s="58">
        <f>SUM(L13:L16)</f>
        <v>1501623.8369156641</v>
      </c>
      <c r="M17" s="71"/>
      <c r="N17" s="58">
        <f>SUM(N13:N16)</f>
        <v>1570488.1569156642</v>
      </c>
      <c r="O17" s="27"/>
      <c r="P17" s="58">
        <f>SUM(P13:P16)</f>
        <v>1570488.1569156642</v>
      </c>
      <c r="Q17" s="71"/>
      <c r="R17" s="58">
        <f>SUM(R13:R16)</f>
        <v>1708216.7969156641</v>
      </c>
      <c r="S17" s="71"/>
      <c r="T17" s="58">
        <f>SUM(T13:T16)</f>
        <v>1983674.0769156641</v>
      </c>
      <c r="U17" s="71"/>
      <c r="V17" s="58">
        <f>SUM(V13:V16)</f>
        <v>2534588.6369156642</v>
      </c>
      <c r="W17" s="71"/>
      <c r="X17" s="58">
        <f>SUM(X13:X16)</f>
        <v>3636417.7569156643</v>
      </c>
    </row>
    <row r="18" spans="2:24" x14ac:dyDescent="0.35">
      <c r="B18" s="27"/>
      <c r="C18" s="27"/>
      <c r="D18" s="27"/>
      <c r="E18" s="27"/>
      <c r="F18" s="27"/>
      <c r="G18" s="59"/>
      <c r="H18" s="59"/>
      <c r="I18" s="59"/>
      <c r="J18" s="27"/>
      <c r="K18" s="27"/>
      <c r="L18" s="27"/>
      <c r="M18" s="71"/>
      <c r="N18" s="27"/>
      <c r="O18" s="27"/>
      <c r="P18" s="27"/>
      <c r="Q18" s="71"/>
      <c r="R18" s="71"/>
      <c r="S18" s="71"/>
      <c r="T18" s="71"/>
      <c r="U18" s="71"/>
      <c r="V18" s="71"/>
      <c r="W18" s="71"/>
      <c r="X18" s="71"/>
    </row>
    <row r="19" spans="2:24" ht="15" thickBot="1" x14ac:dyDescent="0.4">
      <c r="B19" s="56" t="s">
        <v>124</v>
      </c>
      <c r="C19" s="56"/>
      <c r="D19" s="27"/>
      <c r="E19" s="27"/>
      <c r="F19" s="27"/>
      <c r="G19" s="60"/>
      <c r="H19" s="61">
        <f>+H11-H17</f>
        <v>86651615.326552182</v>
      </c>
      <c r="I19" s="60"/>
      <c r="J19" s="61">
        <f>+J11-J17</f>
        <v>275296797.5624705</v>
      </c>
      <c r="K19" s="27"/>
      <c r="L19" s="61">
        <f>+L11-L17</f>
        <v>275296797.5624705</v>
      </c>
      <c r="M19" s="71"/>
      <c r="N19" s="61">
        <f>+N11-N17</f>
        <v>302968161.50084716</v>
      </c>
      <c r="O19" s="27"/>
      <c r="P19" s="61">
        <f>+P11-P17</f>
        <v>303649611.50084716</v>
      </c>
      <c r="Q19" s="71"/>
      <c r="R19" s="61">
        <f>+R11-R17</f>
        <v>416486449.20308435</v>
      </c>
      <c r="S19" s="71"/>
      <c r="T19" s="61">
        <f>+T11-T17</f>
        <v>600677357.92308438</v>
      </c>
      <c r="U19" s="71"/>
      <c r="V19" s="61">
        <f>+V11-V17</f>
        <v>792225827.36308432</v>
      </c>
      <c r="W19" s="71"/>
      <c r="X19" s="61">
        <f>+X11-X17</f>
        <v>1043958816.2430843</v>
      </c>
    </row>
    <row r="20" spans="2:24" x14ac:dyDescent="0.35">
      <c r="B20" s="27"/>
      <c r="C20" s="27"/>
      <c r="D20" s="27"/>
      <c r="E20" s="27"/>
      <c r="F20" s="27"/>
      <c r="G20" s="59"/>
      <c r="H20" s="59"/>
      <c r="I20" s="59"/>
      <c r="J20" s="27"/>
      <c r="K20" s="27"/>
      <c r="L20" s="27"/>
      <c r="M20" s="71"/>
      <c r="N20" s="27"/>
      <c r="O20" s="27"/>
      <c r="P20" s="27"/>
      <c r="Q20" s="71"/>
      <c r="R20" s="71"/>
      <c r="S20" s="71"/>
      <c r="T20" s="71"/>
      <c r="U20" s="71"/>
      <c r="V20" s="71"/>
      <c r="W20" s="71"/>
      <c r="X20" s="71"/>
    </row>
    <row r="21" spans="2:24" x14ac:dyDescent="0.35">
      <c r="B21" s="56" t="s">
        <v>18</v>
      </c>
      <c r="C21" s="27"/>
      <c r="D21" s="27"/>
      <c r="E21" s="27"/>
      <c r="F21" s="27"/>
      <c r="G21" s="59"/>
      <c r="H21" s="59"/>
      <c r="I21" s="59"/>
      <c r="J21" s="27"/>
      <c r="K21" s="27"/>
      <c r="L21" s="27"/>
      <c r="M21" s="71"/>
      <c r="N21" s="27"/>
      <c r="O21" s="27"/>
      <c r="P21" s="27"/>
      <c r="Q21" s="71"/>
      <c r="R21" s="71"/>
      <c r="S21" s="71"/>
      <c r="T21" s="71"/>
      <c r="U21" s="71"/>
      <c r="V21" s="71"/>
      <c r="W21" s="71"/>
      <c r="X21" s="71"/>
    </row>
    <row r="22" spans="2:24" hidden="1" outlineLevel="1" x14ac:dyDescent="0.35">
      <c r="B22" s="27" t="s">
        <v>19</v>
      </c>
      <c r="C22" s="27"/>
      <c r="D22" s="27"/>
      <c r="E22" s="27"/>
      <c r="F22" s="27"/>
      <c r="G22" s="53"/>
      <c r="H22" s="54">
        <v>12699633.044247791</v>
      </c>
      <c r="I22" s="53"/>
      <c r="J22" s="37">
        <v>37499633.044247791</v>
      </c>
      <c r="K22" s="27"/>
      <c r="L22" s="37">
        <v>37499633.044247791</v>
      </c>
      <c r="M22" s="77"/>
      <c r="N22" s="37">
        <v>0</v>
      </c>
      <c r="O22" s="27"/>
      <c r="P22" s="37">
        <v>0</v>
      </c>
      <c r="Q22" s="77"/>
      <c r="R22" s="78">
        <v>0</v>
      </c>
      <c r="S22" s="77"/>
      <c r="T22" s="78">
        <v>0</v>
      </c>
      <c r="U22" s="77"/>
      <c r="V22" s="78">
        <v>0</v>
      </c>
      <c r="W22" s="77"/>
      <c r="X22" s="78">
        <v>0</v>
      </c>
    </row>
    <row r="23" spans="2:24" hidden="1" outlineLevel="1" x14ac:dyDescent="0.35">
      <c r="B23" s="27" t="s">
        <v>20</v>
      </c>
      <c r="C23" s="27"/>
      <c r="D23" s="27"/>
      <c r="E23" s="27"/>
      <c r="F23" s="27"/>
      <c r="G23" s="27"/>
      <c r="H23" s="59">
        <v>0</v>
      </c>
      <c r="I23" s="27"/>
      <c r="J23" s="59">
        <v>0</v>
      </c>
      <c r="K23" s="27"/>
      <c r="L23" s="59">
        <v>0</v>
      </c>
      <c r="M23" s="71"/>
      <c r="N23" s="59">
        <v>0</v>
      </c>
      <c r="O23" s="27"/>
      <c r="P23" s="59">
        <v>0</v>
      </c>
      <c r="Q23" s="71"/>
      <c r="R23" s="79">
        <v>342999978.27941799</v>
      </c>
      <c r="S23" s="71"/>
      <c r="T23" s="79">
        <v>876983965.3313719</v>
      </c>
      <c r="U23" s="71"/>
      <c r="V23" s="79">
        <v>1416797396.4188375</v>
      </c>
      <c r="W23" s="71"/>
      <c r="X23" s="79">
        <v>1793366150.7990804</v>
      </c>
    </row>
    <row r="24" spans="2:24" ht="15" collapsed="1" thickBot="1" x14ac:dyDescent="0.4">
      <c r="B24" s="56" t="s">
        <v>125</v>
      </c>
      <c r="C24" s="56"/>
      <c r="D24" s="27"/>
      <c r="E24" s="27"/>
      <c r="F24" s="27"/>
      <c r="G24" s="60"/>
      <c r="H24" s="61">
        <f>+H19+H22+H23</f>
        <v>99351248.370799974</v>
      </c>
      <c r="I24" s="60"/>
      <c r="J24" s="61">
        <f>+J19+J22+J23</f>
        <v>312796430.6067183</v>
      </c>
      <c r="K24" s="61"/>
      <c r="L24" s="61">
        <f>+L19+L22+L23</f>
        <v>312796430.6067183</v>
      </c>
      <c r="M24" s="80"/>
      <c r="N24" s="61">
        <f>+N19+N22+N23</f>
        <v>302968161.50084716</v>
      </c>
      <c r="O24" s="61"/>
      <c r="P24" s="61">
        <f>+P19+P22+P23</f>
        <v>303649611.50084716</v>
      </c>
      <c r="Q24" s="80"/>
      <c r="R24" s="61">
        <f>+R19+R22+R23</f>
        <v>759486427.48250234</v>
      </c>
      <c r="S24" s="80"/>
      <c r="T24" s="61">
        <f>+T19+T22+T23</f>
        <v>1477661323.2544563</v>
      </c>
      <c r="U24" s="80"/>
      <c r="V24" s="61">
        <f>+V19+V22+V23</f>
        <v>2209023223.7819219</v>
      </c>
      <c r="W24" s="80"/>
      <c r="X24" s="61">
        <f>+X19+X22+X23</f>
        <v>2837324967.0421648</v>
      </c>
    </row>
    <row r="25" spans="2:24" hidden="1" outlineLevel="1" x14ac:dyDescent="0.35">
      <c r="B25" s="27" t="s">
        <v>21</v>
      </c>
      <c r="C25" s="27"/>
      <c r="D25" s="27"/>
      <c r="E25" s="27"/>
      <c r="F25" s="27"/>
      <c r="G25" s="59"/>
      <c r="H25" s="59"/>
      <c r="I25" s="59"/>
      <c r="J25" s="27"/>
      <c r="K25" s="27"/>
      <c r="L25" s="27"/>
      <c r="M25" s="71"/>
      <c r="N25" s="27"/>
      <c r="O25" s="27"/>
      <c r="P25" s="27"/>
      <c r="Q25" s="71"/>
      <c r="R25" s="71"/>
      <c r="S25" s="71"/>
      <c r="T25" s="71"/>
      <c r="U25" s="71"/>
      <c r="V25" s="71"/>
      <c r="W25" s="71"/>
      <c r="X25" s="71"/>
    </row>
    <row r="26" spans="2:24" hidden="1" outlineLevel="1" x14ac:dyDescent="0.35">
      <c r="B26" s="27" t="s">
        <v>22</v>
      </c>
      <c r="C26" s="27"/>
      <c r="D26" s="27"/>
      <c r="E26" s="27"/>
      <c r="F26" s="27"/>
      <c r="G26" s="53"/>
      <c r="H26" s="54">
        <v>59142573.969999999</v>
      </c>
      <c r="I26" s="53"/>
      <c r="J26" s="28">
        <f>+H26+E44</f>
        <v>177427721.91</v>
      </c>
      <c r="K26" s="27"/>
      <c r="L26" s="28">
        <f>IF($L$4=$F$43,F44+H26,H44+H26)</f>
        <v>175558721.91</v>
      </c>
      <c r="M26" s="81"/>
      <c r="N26" s="28">
        <f>+J26*1.15</f>
        <v>204041880.19649997</v>
      </c>
      <c r="O26" s="28"/>
      <c r="P26" s="28">
        <f>IF($P$4=$J$43,J44,L44)</f>
        <v>200303880.19649997</v>
      </c>
      <c r="Q26" s="81"/>
      <c r="R26" s="81">
        <v>224446068.21615002</v>
      </c>
      <c r="S26" s="81"/>
      <c r="T26" s="81">
        <v>233423910.94479603</v>
      </c>
      <c r="U26" s="81"/>
      <c r="V26" s="81">
        <v>242760867.38258788</v>
      </c>
      <c r="W26" s="81"/>
      <c r="X26" s="81">
        <v>252471302.07789141</v>
      </c>
    </row>
    <row r="27" spans="2:24" hidden="1" outlineLevel="1" x14ac:dyDescent="0.35">
      <c r="B27" s="27" t="s">
        <v>23</v>
      </c>
      <c r="C27" s="27"/>
      <c r="D27" s="27"/>
      <c r="E27" s="27"/>
      <c r="F27" s="27"/>
      <c r="G27" s="53"/>
      <c r="H27" s="54">
        <v>1931716</v>
      </c>
      <c r="I27" s="53"/>
      <c r="J27" s="28">
        <f>+H27+E45</f>
        <v>5795148</v>
      </c>
      <c r="K27" s="27"/>
      <c r="L27" s="28">
        <f>IF($L$4=$F$43,F45+H27,H45+H27)</f>
        <v>5795148</v>
      </c>
      <c r="M27" s="81"/>
      <c r="N27" s="28">
        <f t="shared" ref="N27:N30" si="1">+J27*1.15</f>
        <v>6664420.1999999993</v>
      </c>
      <c r="O27" s="27"/>
      <c r="P27" s="28">
        <f>IF($P$4=$J$43,J45,L45)</f>
        <v>6664420.1999999993</v>
      </c>
      <c r="Q27" s="81"/>
      <c r="R27" s="81">
        <v>7330862.2200000007</v>
      </c>
      <c r="S27" s="81"/>
      <c r="T27" s="81">
        <v>7624096.7088000011</v>
      </c>
      <c r="U27" s="81"/>
      <c r="V27" s="81">
        <v>7929060.5771520007</v>
      </c>
      <c r="W27" s="81"/>
      <c r="X27" s="81">
        <v>8246223.0002380805</v>
      </c>
    </row>
    <row r="28" spans="2:24" hidden="1" outlineLevel="1" x14ac:dyDescent="0.35">
      <c r="B28" s="27" t="s">
        <v>24</v>
      </c>
      <c r="C28" s="27"/>
      <c r="D28" s="27"/>
      <c r="E28" s="27"/>
      <c r="F28" s="27"/>
      <c r="G28" s="53"/>
      <c r="H28" s="54">
        <v>1085740.5180725665</v>
      </c>
      <c r="I28" s="53"/>
      <c r="J28" s="28">
        <f>+H28+E46</f>
        <v>3257221.5542176994</v>
      </c>
      <c r="K28" s="27"/>
      <c r="L28" s="28">
        <f>IF($L$4=$F$43,F46+H28,H46+H28)</f>
        <v>3257221.5542176994</v>
      </c>
      <c r="M28" s="81"/>
      <c r="N28" s="28">
        <f t="shared" si="1"/>
        <v>3745804.7873503543</v>
      </c>
      <c r="O28" s="27"/>
      <c r="P28" s="28">
        <f>IF($P$4=$J$43,J46,L46)</f>
        <v>3745804.7873503543</v>
      </c>
      <c r="Q28" s="81"/>
      <c r="R28" s="81">
        <v>4120385.2660853895</v>
      </c>
      <c r="S28" s="81"/>
      <c r="T28" s="81">
        <v>4285200.6767288055</v>
      </c>
      <c r="U28" s="81"/>
      <c r="V28" s="81">
        <v>4456608.7037979579</v>
      </c>
      <c r="W28" s="81"/>
      <c r="X28" s="81">
        <v>4634873.0519498764</v>
      </c>
    </row>
    <row r="29" spans="2:24" hidden="1" outlineLevel="1" x14ac:dyDescent="0.35">
      <c r="B29" s="27" t="s">
        <v>25</v>
      </c>
      <c r="C29" s="27"/>
      <c r="D29" s="27"/>
      <c r="E29" s="27"/>
      <c r="F29" s="27"/>
      <c r="G29" s="53"/>
      <c r="H29" s="54">
        <v>8016414.8527466664</v>
      </c>
      <c r="I29" s="53"/>
      <c r="J29" s="28">
        <f>+H29+E47</f>
        <v>24049244.55824</v>
      </c>
      <c r="K29" s="27"/>
      <c r="L29" s="28">
        <f>IF($L$4=$F$43,F47+H29,H47+H29)</f>
        <v>15109244.55824</v>
      </c>
      <c r="M29" s="81"/>
      <c r="N29" s="28">
        <f t="shared" si="1"/>
        <v>27656631.241975997</v>
      </c>
      <c r="O29" s="27"/>
      <c r="P29" s="28">
        <f>IF($P$4=$J$43,J47,L47)</f>
        <v>9776631.2419759966</v>
      </c>
      <c r="Q29" s="81"/>
      <c r="R29" s="81">
        <v>30422294.366173603</v>
      </c>
      <c r="S29" s="81"/>
      <c r="T29" s="81">
        <v>31639186.140820548</v>
      </c>
      <c r="U29" s="81"/>
      <c r="V29" s="81">
        <v>32904753.586453371</v>
      </c>
      <c r="W29" s="81"/>
      <c r="X29" s="81">
        <v>34220943.729911506</v>
      </c>
    </row>
    <row r="30" spans="2:24" hidden="1" outlineLevel="1" x14ac:dyDescent="0.35">
      <c r="B30" s="27" t="s">
        <v>26</v>
      </c>
      <c r="C30" s="27"/>
      <c r="D30" s="27"/>
      <c r="E30" s="27"/>
      <c r="F30" s="27"/>
      <c r="G30" s="53"/>
      <c r="H30" s="54">
        <v>6395126.9125833362</v>
      </c>
      <c r="I30" s="53"/>
      <c r="J30" s="28">
        <f>+H30+E48+E49</f>
        <v>24185380.737750009</v>
      </c>
      <c r="K30" s="27"/>
      <c r="L30" s="28">
        <f>IF($L$4=$F$43,F48+H30+F49,H48+H30+H49)</f>
        <v>21365380.737750009</v>
      </c>
      <c r="M30" s="81"/>
      <c r="N30" s="28">
        <f t="shared" si="1"/>
        <v>27813187.848412506</v>
      </c>
      <c r="O30" s="27"/>
      <c r="P30" s="28">
        <f>IF($P$4=$J$43,J48,L48)</f>
        <v>22173187.848412506</v>
      </c>
      <c r="Q30" s="81"/>
      <c r="R30" s="81">
        <v>30594506.633253761</v>
      </c>
      <c r="S30" s="81"/>
      <c r="T30" s="81">
        <v>31818286.898583911</v>
      </c>
      <c r="U30" s="81"/>
      <c r="V30" s="81">
        <v>33091018.374527268</v>
      </c>
      <c r="W30" s="81"/>
      <c r="X30" s="81">
        <v>34414659.109508358</v>
      </c>
    </row>
    <row r="31" spans="2:24" collapsed="1" x14ac:dyDescent="0.35">
      <c r="B31" s="56" t="s">
        <v>27</v>
      </c>
      <c r="C31" s="27"/>
      <c r="D31" s="27"/>
      <c r="E31" s="27"/>
      <c r="F31" s="27"/>
      <c r="G31" s="57"/>
      <c r="H31" s="58">
        <f>SUM(H26:H30)</f>
        <v>76571572.253402576</v>
      </c>
      <c r="I31" s="57"/>
      <c r="J31" s="62">
        <f>SUM(J26:J30)</f>
        <v>234714716.76020771</v>
      </c>
      <c r="K31" s="58"/>
      <c r="L31" s="58">
        <f>SUM(L26:L30)</f>
        <v>221085716.76020771</v>
      </c>
      <c r="M31" s="73"/>
      <c r="N31" s="58">
        <f>SUM(N26:N30)</f>
        <v>269921924.27423882</v>
      </c>
      <c r="O31" s="58"/>
      <c r="P31" s="58">
        <f>SUM(P26:P30)</f>
        <v>242663924.27423882</v>
      </c>
      <c r="Q31" s="73"/>
      <c r="R31" s="58">
        <f>SUM(R26:R30)</f>
        <v>296914116.70166278</v>
      </c>
      <c r="S31" s="73"/>
      <c r="T31" s="58">
        <f>SUM(T26:T30)</f>
        <v>308790681.36972928</v>
      </c>
      <c r="U31" s="73"/>
      <c r="V31" s="58">
        <f>SUM(V26:V30)</f>
        <v>321142308.62451851</v>
      </c>
      <c r="W31" s="73"/>
      <c r="X31" s="58">
        <f>SUM(X26:X30)</f>
        <v>333988000.96949923</v>
      </c>
    </row>
    <row r="32" spans="2:24" x14ac:dyDescent="0.35">
      <c r="B32" s="27"/>
      <c r="C32" s="27"/>
      <c r="D32" s="27"/>
      <c r="E32" s="27"/>
      <c r="F32" s="27"/>
      <c r="G32" s="59"/>
      <c r="H32" s="59"/>
      <c r="I32" s="59"/>
      <c r="J32" s="27"/>
      <c r="K32" s="27"/>
      <c r="L32" s="27"/>
      <c r="M32" s="71"/>
      <c r="N32" s="27"/>
      <c r="O32" s="27"/>
      <c r="P32" s="27"/>
      <c r="Q32" s="71"/>
      <c r="R32" s="71"/>
      <c r="S32" s="71"/>
      <c r="T32" s="71"/>
      <c r="U32" s="71"/>
      <c r="V32" s="71"/>
      <c r="W32" s="71"/>
      <c r="X32" s="71"/>
    </row>
    <row r="33" spans="2:24" ht="16" thickBot="1" x14ac:dyDescent="0.4">
      <c r="B33" s="56" t="s">
        <v>128</v>
      </c>
      <c r="C33" s="27"/>
      <c r="D33" s="27"/>
      <c r="E33" s="27"/>
      <c r="F33" s="27"/>
      <c r="G33" s="63"/>
      <c r="H33" s="64">
        <f>+H24-H31</f>
        <v>22779676.117397398</v>
      </c>
      <c r="I33" s="63"/>
      <c r="J33" s="64">
        <f>+J24-J31</f>
        <v>78081713.846510589</v>
      </c>
      <c r="K33" s="64"/>
      <c r="L33" s="64">
        <f>+L24-L31</f>
        <v>91710713.846510589</v>
      </c>
      <c r="M33" s="83"/>
      <c r="N33" s="64">
        <f>+N24-N31</f>
        <v>33046237.226608336</v>
      </c>
      <c r="O33" s="64"/>
      <c r="P33" s="64">
        <f>+P24-P31</f>
        <v>60985687.226608336</v>
      </c>
      <c r="Q33" s="83"/>
      <c r="R33" s="64">
        <f>+R24-R31</f>
        <v>462572310.78083956</v>
      </c>
      <c r="S33" s="83"/>
      <c r="T33" s="64">
        <f>+T24-T31</f>
        <v>1168870641.884727</v>
      </c>
      <c r="U33" s="83"/>
      <c r="V33" s="64">
        <f>+V24-V31</f>
        <v>1887880915.1574035</v>
      </c>
      <c r="W33" s="83"/>
      <c r="X33" s="64">
        <f>+X24-X31</f>
        <v>2503336966.0726657</v>
      </c>
    </row>
    <row r="34" spans="2:24" ht="15" thickTop="1" x14ac:dyDescent="0.35">
      <c r="B34" s="56" t="s">
        <v>28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71"/>
      <c r="N34" s="27"/>
      <c r="O34" s="27"/>
      <c r="P34" s="27"/>
      <c r="Q34" s="71"/>
      <c r="R34" s="71"/>
      <c r="S34" s="71"/>
      <c r="T34" s="71"/>
      <c r="U34" s="71"/>
      <c r="V34" s="71"/>
      <c r="W34" s="71"/>
      <c r="X34" s="71"/>
    </row>
    <row r="35" spans="2:24" x14ac:dyDescent="0.35">
      <c r="B35" s="56"/>
      <c r="C35" s="27"/>
      <c r="D35" s="27"/>
      <c r="E35" s="27"/>
      <c r="F35" s="27"/>
      <c r="G35" s="27"/>
      <c r="H35" s="27"/>
      <c r="I35" s="27"/>
      <c r="J35" s="27"/>
      <c r="K35" s="27"/>
      <c r="L35" s="59"/>
      <c r="M35" s="71"/>
      <c r="N35" s="27"/>
      <c r="O35" s="27"/>
      <c r="P35" s="27"/>
      <c r="Q35" s="71"/>
      <c r="R35" s="71"/>
      <c r="S35" s="71"/>
      <c r="T35" s="71"/>
      <c r="U35" s="71"/>
      <c r="V35" s="71"/>
      <c r="W35" s="71"/>
      <c r="X35" s="71"/>
    </row>
    <row r="36" spans="2:24" x14ac:dyDescent="0.35">
      <c r="B36" s="56" t="s">
        <v>29</v>
      </c>
      <c r="C36" s="27"/>
      <c r="D36" s="27"/>
      <c r="E36" s="27"/>
      <c r="F36" s="27"/>
      <c r="G36" s="27"/>
      <c r="H36" s="55"/>
      <c r="I36" s="55"/>
      <c r="J36" s="55">
        <v>0</v>
      </c>
      <c r="K36" s="27"/>
      <c r="L36" s="27"/>
      <c r="M36" s="76"/>
      <c r="N36" s="59">
        <v>846530333.49611998</v>
      </c>
      <c r="O36" s="27"/>
      <c r="P36" s="59">
        <f>+N36</f>
        <v>846530333.49611998</v>
      </c>
      <c r="Q36" s="76"/>
      <c r="R36" s="76">
        <v>1714999891.3970902</v>
      </c>
      <c r="S36" s="76"/>
      <c r="T36" s="76">
        <v>1753967930.6627438</v>
      </c>
      <c r="U36" s="76"/>
      <c r="V36" s="76">
        <v>1770996745.5235469</v>
      </c>
      <c r="W36" s="76"/>
      <c r="X36" s="76">
        <v>1793366150.7990804</v>
      </c>
    </row>
    <row r="37" spans="2:24" x14ac:dyDescent="0.35">
      <c r="B37" s="56" t="s">
        <v>30</v>
      </c>
      <c r="C37" s="27"/>
      <c r="D37" s="27"/>
      <c r="E37" s="27"/>
      <c r="F37" s="27"/>
      <c r="G37" s="27"/>
      <c r="H37" s="55"/>
      <c r="I37" s="55"/>
      <c r="J37" s="55">
        <v>0</v>
      </c>
      <c r="K37" s="27"/>
      <c r="L37" s="27"/>
      <c r="M37" s="76"/>
      <c r="N37" s="59">
        <v>846530333.49611998</v>
      </c>
      <c r="O37" s="27"/>
      <c r="P37" s="59">
        <f>+N37</f>
        <v>846530333.49611998</v>
      </c>
      <c r="Q37" s="76"/>
      <c r="R37" s="76">
        <v>1371999913.1176722</v>
      </c>
      <c r="S37" s="76"/>
      <c r="T37" s="76">
        <v>876983965.3313719</v>
      </c>
      <c r="U37" s="76"/>
      <c r="V37" s="76">
        <v>354199349.10470939</v>
      </c>
      <c r="W37" s="76"/>
      <c r="X37" s="76">
        <v>0</v>
      </c>
    </row>
    <row r="38" spans="2:24" ht="16" thickBot="1" x14ac:dyDescent="0.4">
      <c r="B38" s="56" t="s">
        <v>123</v>
      </c>
      <c r="C38" s="27"/>
      <c r="D38" s="27"/>
      <c r="E38" s="27"/>
      <c r="F38" s="27"/>
      <c r="G38" s="63"/>
      <c r="H38" s="64">
        <v>0</v>
      </c>
      <c r="I38" s="63"/>
      <c r="J38" s="64">
        <v>0</v>
      </c>
      <c r="K38" s="65"/>
      <c r="L38" s="64">
        <v>0</v>
      </c>
      <c r="M38" s="83"/>
      <c r="N38" s="64"/>
      <c r="O38" s="27"/>
      <c r="P38" s="64"/>
      <c r="Q38" s="83"/>
      <c r="R38" s="82">
        <v>342999978.27941799</v>
      </c>
      <c r="S38" s="83"/>
      <c r="T38" s="82">
        <v>876983965.3313719</v>
      </c>
      <c r="U38" s="83"/>
      <c r="V38" s="82">
        <v>1416797396.4188375</v>
      </c>
      <c r="W38" s="83"/>
      <c r="X38" s="82">
        <v>1793366150.7990804</v>
      </c>
    </row>
    <row r="39" spans="2:24" ht="15" thickTop="1" x14ac:dyDescent="0.35">
      <c r="B39" s="56"/>
      <c r="C39" s="27"/>
      <c r="D39" s="27"/>
      <c r="E39" s="27"/>
      <c r="F39" s="27"/>
      <c r="G39" s="27"/>
      <c r="H39" s="27"/>
      <c r="I39" s="27"/>
      <c r="J39" s="27"/>
      <c r="K39" s="27"/>
      <c r="L39" s="27"/>
      <c r="N39" s="27"/>
      <c r="O39" s="27"/>
      <c r="P39" s="27"/>
    </row>
    <row r="40" spans="2:24" x14ac:dyDescent="0.35">
      <c r="B40" s="11"/>
      <c r="L40" s="19">
        <f>+L33-J33</f>
        <v>13629000</v>
      </c>
      <c r="P40" s="19">
        <f>+P33-N33</f>
        <v>27939450</v>
      </c>
    </row>
    <row r="41" spans="2:24" ht="15" outlineLevel="1" thickBot="1" x14ac:dyDescent="0.4">
      <c r="L41" s="12"/>
      <c r="P41" s="19">
        <f>+L40+P40</f>
        <v>41568450</v>
      </c>
    </row>
    <row r="42" spans="2:24" ht="15" outlineLevel="1" thickBot="1" x14ac:dyDescent="0.4">
      <c r="B42" s="109" t="s">
        <v>31</v>
      </c>
      <c r="C42" s="109"/>
      <c r="D42" s="109"/>
      <c r="E42" s="109"/>
      <c r="F42" s="105" t="s">
        <v>70</v>
      </c>
      <c r="G42" s="106"/>
      <c r="H42" s="107"/>
      <c r="J42" s="105" t="s">
        <v>71</v>
      </c>
      <c r="K42" s="106"/>
      <c r="L42" s="107"/>
    </row>
    <row r="43" spans="2:24" outlineLevel="1" x14ac:dyDescent="0.35">
      <c r="B43" s="97" t="s">
        <v>21</v>
      </c>
      <c r="C43" s="97"/>
      <c r="D43" s="97"/>
      <c r="E43" s="1" t="s">
        <v>65</v>
      </c>
      <c r="F43" s="93" t="s">
        <v>63</v>
      </c>
      <c r="G43" s="43"/>
      <c r="H43" s="93" t="s">
        <v>64</v>
      </c>
      <c r="J43" s="93" t="s">
        <v>63</v>
      </c>
      <c r="K43" s="43"/>
      <c r="L43" s="93" t="s">
        <v>64</v>
      </c>
    </row>
    <row r="44" spans="2:24" outlineLevel="1" x14ac:dyDescent="0.35">
      <c r="B44" s="97" t="s">
        <v>22</v>
      </c>
      <c r="C44" s="97"/>
      <c r="D44" s="97"/>
      <c r="E44" s="10">
        <v>118285147.94</v>
      </c>
      <c r="F44" s="12">
        <f>+E44</f>
        <v>118285147.94</v>
      </c>
      <c r="H44" s="12">
        <f>+E44-('Supuestos-Crisis'!$G$6*6)</f>
        <v>116416147.94</v>
      </c>
      <c r="J44" s="12">
        <f>+N26</f>
        <v>204041880.19649997</v>
      </c>
      <c r="L44" s="12">
        <f>+N26-('Supuestos-Crisis'!$G$6*12)</f>
        <v>200303880.19649997</v>
      </c>
      <c r="N44" s="20"/>
    </row>
    <row r="45" spans="2:24" outlineLevel="1" x14ac:dyDescent="0.35">
      <c r="B45" s="97" t="s">
        <v>23</v>
      </c>
      <c r="C45" s="97"/>
      <c r="D45" s="97"/>
      <c r="E45" s="10">
        <v>3863432</v>
      </c>
      <c r="F45" s="12">
        <f>+E45</f>
        <v>3863432</v>
      </c>
      <c r="H45" s="12">
        <f>+F45</f>
        <v>3863432</v>
      </c>
      <c r="J45" s="12">
        <f>+N27</f>
        <v>6664420.1999999993</v>
      </c>
      <c r="L45" s="20">
        <f>+N27</f>
        <v>6664420.1999999993</v>
      </c>
      <c r="N45" s="20"/>
    </row>
    <row r="46" spans="2:24" outlineLevel="1" x14ac:dyDescent="0.35">
      <c r="B46" s="97" t="s">
        <v>24</v>
      </c>
      <c r="C46" s="97"/>
      <c r="D46" s="97"/>
      <c r="E46" s="10">
        <v>2171481.036145133</v>
      </c>
      <c r="F46" s="12">
        <f>+E46</f>
        <v>2171481.036145133</v>
      </c>
      <c r="H46" s="12">
        <f>+F46</f>
        <v>2171481.036145133</v>
      </c>
      <c r="J46" s="12">
        <f>+N28</f>
        <v>3745804.7873503543</v>
      </c>
      <c r="L46" s="20">
        <f>+N28</f>
        <v>3745804.7873503543</v>
      </c>
      <c r="N46" s="20"/>
    </row>
    <row r="47" spans="2:24" outlineLevel="1" x14ac:dyDescent="0.35">
      <c r="B47" s="97" t="s">
        <v>25</v>
      </c>
      <c r="C47" s="97"/>
      <c r="D47" s="97"/>
      <c r="E47" s="10">
        <v>16032829.705493333</v>
      </c>
      <c r="F47" s="12">
        <f>+'ER PROYECTADO '!E47-('Supuestos-Crisis'!$F$5*6)</f>
        <v>11292829.705493333</v>
      </c>
      <c r="H47" s="12">
        <f>+E47-('Supuestos-Crisis'!$G$5*6)</f>
        <v>7092829.7054933328</v>
      </c>
      <c r="J47" s="12">
        <f>+'ER PROYECTADO '!N29-('Supuestos-Crisis'!$F$5*12)</f>
        <v>18176631.241975997</v>
      </c>
      <c r="L47" s="12">
        <f>+N29-('Supuestos-Crisis'!$G$5*12)</f>
        <v>9776631.2419759966</v>
      </c>
      <c r="N47" s="20"/>
    </row>
    <row r="48" spans="2:24" outlineLevel="1" x14ac:dyDescent="0.35">
      <c r="B48" s="97" t="s">
        <v>26</v>
      </c>
      <c r="C48" s="97"/>
      <c r="D48" s="97"/>
      <c r="E48" s="10">
        <v>12790253.825166672</v>
      </c>
      <c r="F48" s="12">
        <f>+E48-(SUM('Supuestos-Crisis'!$F$7:$F$13)*6)</f>
        <v>10915253.825166672</v>
      </c>
      <c r="H48" s="12">
        <f>+E48-(SUM('Supuestos-Crisis'!$G$7:$G$13)*6)+(590000*6)</f>
        <v>10570253.825166672</v>
      </c>
      <c r="J48" s="12">
        <f>+N30-(SUM('Supuestos-Crisis'!$F$7:$F$13)*12)</f>
        <v>24063187.848412506</v>
      </c>
      <c r="L48" s="12">
        <f>+N30-(SUM('Supuestos-Crisis'!$G$7:$G$13)*12)+(590000*12)-(1200000)</f>
        <v>22173187.848412506</v>
      </c>
      <c r="N48" s="20"/>
    </row>
    <row r="49" spans="2:14" outlineLevel="1" x14ac:dyDescent="0.35">
      <c r="B49" s="97" t="s">
        <v>32</v>
      </c>
      <c r="C49" s="97"/>
      <c r="D49" s="97"/>
      <c r="E49" s="10">
        <v>5000000</v>
      </c>
      <c r="F49" s="12">
        <f>+E49</f>
        <v>5000000</v>
      </c>
      <c r="H49" s="12">
        <f>+F49-(100000*6)</f>
        <v>4400000</v>
      </c>
    </row>
    <row r="50" spans="2:14" outlineLevel="1" x14ac:dyDescent="0.35">
      <c r="B50" s="98" t="s">
        <v>33</v>
      </c>
      <c r="C50" s="98"/>
      <c r="D50" s="98"/>
      <c r="E50" s="21">
        <f>SUM(E44:E49)</f>
        <v>158143144.50680515</v>
      </c>
      <c r="F50" s="26">
        <f>SUM(F44:F49)</f>
        <v>151528144.50680515</v>
      </c>
      <c r="G50" s="11"/>
      <c r="H50" s="26">
        <f>SUM(H44:H49)</f>
        <v>144514144.50680512</v>
      </c>
      <c r="J50" s="26">
        <f>SUM(J44:J49)</f>
        <v>256691924.27423882</v>
      </c>
      <c r="L50" s="26">
        <f>SUM(L44:L49)</f>
        <v>242663924.27423882</v>
      </c>
      <c r="N50" s="19"/>
    </row>
    <row r="51" spans="2:14" outlineLevel="1" x14ac:dyDescent="0.35">
      <c r="B51" s="29" t="s">
        <v>69</v>
      </c>
      <c r="C51" s="29"/>
      <c r="D51" s="29"/>
      <c r="E51" s="29"/>
      <c r="F51" s="30">
        <f>+(E50-F50)-'Supuestos-Crisis'!F22</f>
        <v>0</v>
      </c>
      <c r="G51" s="29"/>
      <c r="H51" s="30">
        <f>+(E50-H50)-'Supuestos-Crisis'!G22</f>
        <v>600000.0000000298</v>
      </c>
    </row>
    <row r="52" spans="2:14" outlineLevel="1" x14ac:dyDescent="0.35">
      <c r="F52" s="20"/>
      <c r="H52" s="20"/>
    </row>
    <row r="53" spans="2:14" outlineLevel="1" x14ac:dyDescent="0.35"/>
  </sheetData>
  <mergeCells count="7">
    <mergeCell ref="J42:L42"/>
    <mergeCell ref="B1:I1"/>
    <mergeCell ref="B2:I2"/>
    <mergeCell ref="B3:I3"/>
    <mergeCell ref="B4:I4"/>
    <mergeCell ref="B42:E42"/>
    <mergeCell ref="F42:H42"/>
  </mergeCells>
  <dataValidations count="1">
    <dataValidation type="list" allowBlank="1" showInputMessage="1" showErrorMessage="1" sqref="L4 P4" xr:uid="{E8D91047-C009-475B-8B86-760314AD8097}">
      <formula1>$R$2:$R$3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AF978-A8AA-4B9C-A1FD-ABED967A9F56}">
  <dimension ref="A1:V45"/>
  <sheetViews>
    <sheetView showGridLines="0" topLeftCell="A21" workbookViewId="0">
      <selection activeCell="I5" sqref="I5"/>
    </sheetView>
  </sheetViews>
  <sheetFormatPr baseColWidth="10" defaultRowHeight="14.5" x14ac:dyDescent="0.35"/>
  <cols>
    <col min="6" max="6" width="13.7265625" hidden="1" customWidth="1"/>
    <col min="7" max="7" width="6.81640625" customWidth="1"/>
    <col min="8" max="9" width="18.26953125" customWidth="1"/>
    <col min="10" max="10" width="5.26953125" style="48" customWidth="1"/>
    <col min="11" max="11" width="16.7265625" customWidth="1"/>
    <col min="12" max="12" width="16.453125" customWidth="1"/>
    <col min="13" max="13" width="4.54296875" customWidth="1"/>
    <col min="14" max="14" width="23.1796875" bestFit="1" customWidth="1"/>
    <col min="15" max="15" width="3.54296875" customWidth="1"/>
    <col min="16" max="16" width="23.1796875" bestFit="1" customWidth="1"/>
    <col min="17" max="17" width="3" customWidth="1"/>
    <col min="18" max="18" width="21" customWidth="1"/>
    <col min="19" max="19" width="3" customWidth="1"/>
    <col min="20" max="20" width="23.1796875" bestFit="1" customWidth="1"/>
  </cols>
  <sheetData>
    <row r="1" spans="1:20" x14ac:dyDescent="0.35">
      <c r="A1" s="108" t="s">
        <v>72</v>
      </c>
      <c r="B1" s="108"/>
      <c r="C1" s="108"/>
      <c r="D1" s="108"/>
      <c r="E1" s="108"/>
      <c r="F1" s="108"/>
      <c r="G1" s="108"/>
      <c r="H1" s="108"/>
      <c r="I1" s="15"/>
      <c r="J1" s="43"/>
      <c r="K1" s="1"/>
    </row>
    <row r="2" spans="1:20" x14ac:dyDescent="0.35">
      <c r="A2" s="108" t="s">
        <v>73</v>
      </c>
      <c r="B2" s="108"/>
      <c r="C2" s="108"/>
      <c r="D2" s="108"/>
      <c r="E2" s="108"/>
      <c r="F2" s="108"/>
      <c r="G2" s="108"/>
      <c r="H2" s="108"/>
      <c r="I2" s="15"/>
      <c r="J2" s="43"/>
      <c r="K2" s="1"/>
    </row>
    <row r="3" spans="1:20" x14ac:dyDescent="0.35">
      <c r="A3" s="108" t="s">
        <v>74</v>
      </c>
      <c r="B3" s="108"/>
      <c r="C3" s="108"/>
      <c r="D3" s="108"/>
      <c r="E3" s="108"/>
      <c r="F3" s="108"/>
      <c r="G3" s="108"/>
      <c r="H3" s="108"/>
      <c r="I3" s="15"/>
      <c r="J3" s="43"/>
      <c r="K3" s="1"/>
    </row>
    <row r="4" spans="1:20" ht="15" thickBot="1" x14ac:dyDescent="0.4">
      <c r="A4" s="108" t="s">
        <v>3</v>
      </c>
      <c r="B4" s="108"/>
      <c r="C4" s="108"/>
      <c r="D4" s="108"/>
      <c r="E4" s="108"/>
      <c r="F4" s="108"/>
      <c r="G4" s="108"/>
      <c r="H4" s="108"/>
      <c r="I4" s="15"/>
      <c r="J4" s="43"/>
      <c r="K4" s="1"/>
    </row>
    <row r="5" spans="1:20" ht="29.5" thickBot="1" x14ac:dyDescent="0.4">
      <c r="A5" s="1"/>
      <c r="B5" s="1"/>
      <c r="C5" s="1"/>
      <c r="D5" s="1"/>
      <c r="E5" s="1"/>
      <c r="F5" s="1"/>
      <c r="G5" s="1"/>
      <c r="H5" s="49" t="s">
        <v>66</v>
      </c>
      <c r="I5" s="51" t="str">
        <f>+'ER PROYECTADO '!L4</f>
        <v xml:space="preserve">100% Teletrabajo </v>
      </c>
      <c r="J5" s="43"/>
      <c r="K5" s="1"/>
      <c r="L5" s="51" t="str">
        <f>+'ER PROYECTADO '!P4</f>
        <v xml:space="preserve">100% Teletrabajo </v>
      </c>
    </row>
    <row r="6" spans="1:20" x14ac:dyDescent="0.35">
      <c r="A6" s="1"/>
      <c r="B6" s="1"/>
      <c r="C6" s="1"/>
      <c r="D6" s="1"/>
      <c r="E6" s="1"/>
      <c r="F6" s="1"/>
      <c r="G6" s="1"/>
      <c r="H6" s="1"/>
      <c r="I6" s="1"/>
      <c r="J6" s="43"/>
      <c r="K6" s="1"/>
    </row>
    <row r="7" spans="1:20" ht="29.5" thickBot="1" x14ac:dyDescent="0.4">
      <c r="A7" s="31" t="s">
        <v>75</v>
      </c>
      <c r="B7" s="1"/>
      <c r="C7" s="1"/>
      <c r="D7" s="1"/>
      <c r="E7" s="1"/>
      <c r="F7" s="32">
        <v>43951</v>
      </c>
      <c r="G7" s="11"/>
      <c r="H7" s="41" t="s">
        <v>76</v>
      </c>
      <c r="I7" s="50" t="s">
        <v>105</v>
      </c>
      <c r="J7" s="44"/>
      <c r="K7" s="41" t="s">
        <v>77</v>
      </c>
      <c r="L7" s="50" t="s">
        <v>106</v>
      </c>
      <c r="N7" s="69" t="s">
        <v>107</v>
      </c>
      <c r="O7" s="1"/>
      <c r="P7" s="69" t="s">
        <v>108</v>
      </c>
      <c r="Q7" s="1"/>
      <c r="R7" s="69" t="s">
        <v>109</v>
      </c>
      <c r="S7" s="1"/>
      <c r="T7" s="69" t="s">
        <v>110</v>
      </c>
    </row>
    <row r="8" spans="1:20" x14ac:dyDescent="0.35">
      <c r="A8" s="11" t="s">
        <v>78</v>
      </c>
      <c r="B8" s="1"/>
      <c r="C8" s="1"/>
      <c r="D8" s="1"/>
      <c r="E8" s="1"/>
      <c r="F8" s="33">
        <f>+SUM(F9:F10)</f>
        <v>62864900.543100126</v>
      </c>
      <c r="G8" s="13"/>
      <c r="H8" s="34">
        <f>+SUM(H9,H10)</f>
        <v>62864900.543100126</v>
      </c>
      <c r="I8" s="34">
        <f>+SUM(I9,I10)</f>
        <v>62864900.543100126</v>
      </c>
      <c r="J8" s="45"/>
      <c r="K8" s="34">
        <f>SUM(K9:K10)</f>
        <v>63852476</v>
      </c>
      <c r="L8" s="34">
        <f>+SUM(L9,L10)</f>
        <v>63852476</v>
      </c>
      <c r="N8" s="34">
        <f>SUM(N9:N10)</f>
        <v>91424787</v>
      </c>
      <c r="O8" s="1"/>
      <c r="P8" s="34">
        <f>SUM(P9:P10)</f>
        <v>60295429</v>
      </c>
      <c r="Q8" s="1"/>
      <c r="R8" s="34">
        <f>SUM(R9:R10)</f>
        <v>18176344</v>
      </c>
      <c r="S8" s="1"/>
      <c r="T8" s="34">
        <f>SUM(T9:T10)</f>
        <v>1513310</v>
      </c>
    </row>
    <row r="9" spans="1:20" x14ac:dyDescent="0.35">
      <c r="A9" s="1" t="s">
        <v>79</v>
      </c>
      <c r="B9" s="1"/>
      <c r="C9" s="1"/>
      <c r="D9" s="1"/>
      <c r="E9" s="1"/>
      <c r="F9" s="35">
        <v>70000</v>
      </c>
      <c r="G9" s="13"/>
      <c r="H9" s="35">
        <f>+F9</f>
        <v>70000</v>
      </c>
      <c r="I9" s="35">
        <f>+H9</f>
        <v>70000</v>
      </c>
      <c r="J9" s="46"/>
      <c r="K9" s="35">
        <v>70000</v>
      </c>
      <c r="L9" s="35">
        <f>+K9</f>
        <v>70000</v>
      </c>
      <c r="N9" s="35">
        <v>70000</v>
      </c>
      <c r="O9" s="35"/>
      <c r="P9" s="35">
        <v>70000</v>
      </c>
      <c r="Q9" s="35"/>
      <c r="R9" s="35">
        <v>70000</v>
      </c>
      <c r="S9" s="35"/>
      <c r="T9" s="35">
        <v>70000</v>
      </c>
    </row>
    <row r="10" spans="1:20" x14ac:dyDescent="0.35">
      <c r="A10" s="1" t="s">
        <v>80</v>
      </c>
      <c r="B10" s="1"/>
      <c r="C10" s="1"/>
      <c r="D10" s="1"/>
      <c r="E10" s="1"/>
      <c r="F10" s="35">
        <v>62794900.543100126</v>
      </c>
      <c r="G10" s="13"/>
      <c r="H10" s="35">
        <f>+F10</f>
        <v>62794900.543100126</v>
      </c>
      <c r="I10" s="35">
        <f>+H10</f>
        <v>62794900.543100126</v>
      </c>
      <c r="J10" s="46"/>
      <c r="K10" s="35">
        <v>63782476</v>
      </c>
      <c r="L10" s="35">
        <f>+K10</f>
        <v>63782476</v>
      </c>
      <c r="N10" s="35">
        <v>91354787</v>
      </c>
      <c r="O10" s="35"/>
      <c r="P10" s="35">
        <v>60225429</v>
      </c>
      <c r="Q10" s="35"/>
      <c r="R10" s="35">
        <v>18106344</v>
      </c>
      <c r="S10" s="35"/>
      <c r="T10" s="35">
        <f>+-38556690+40000000</f>
        <v>1443310</v>
      </c>
    </row>
    <row r="11" spans="1:20" x14ac:dyDescent="0.35">
      <c r="A11" s="11" t="s">
        <v>81</v>
      </c>
      <c r="B11" s="1"/>
      <c r="C11" s="1"/>
      <c r="D11" s="1"/>
      <c r="E11" s="1"/>
      <c r="F11" s="33">
        <f>+SUM(F12:F14)</f>
        <v>2981150241.1453648</v>
      </c>
      <c r="G11" s="13"/>
      <c r="H11" s="36">
        <f>+SUM(H12:H14)</f>
        <v>3059231954.9918752</v>
      </c>
      <c r="I11" s="36">
        <f>+SUM(I12:I14)</f>
        <v>3072860954.9918752</v>
      </c>
      <c r="J11" s="47"/>
      <c r="K11" s="36">
        <f>+SUM(K12:K14)</f>
        <v>3684455636</v>
      </c>
      <c r="L11" s="36">
        <f>+SUM(L12:L14)</f>
        <v>3726024086</v>
      </c>
      <c r="N11" s="36">
        <f>+SUM(N12:N14)</f>
        <v>5497830549</v>
      </c>
      <c r="P11" s="36">
        <f>+SUM(P12:P14)</f>
        <v>7437189514</v>
      </c>
      <c r="R11" s="36">
        <f>+SUM(R12:R14)</f>
        <v>9583763863</v>
      </c>
      <c r="T11" s="36">
        <f>+SUM(T12:T14)</f>
        <v>12175763863</v>
      </c>
    </row>
    <row r="12" spans="1:20" x14ac:dyDescent="0.35">
      <c r="A12" s="1" t="s">
        <v>82</v>
      </c>
      <c r="B12" s="1"/>
      <c r="C12" s="1"/>
      <c r="D12" s="1"/>
      <c r="E12" s="1"/>
      <c r="F12" s="35">
        <v>2957968588.4277992</v>
      </c>
      <c r="G12" s="13"/>
      <c r="H12" s="35">
        <f>+F12+H34</f>
        <v>3036050302.2743096</v>
      </c>
      <c r="I12" s="35">
        <f>+H12+(I34-H34)</f>
        <v>3049679302.2743096</v>
      </c>
      <c r="J12" s="46"/>
      <c r="K12" s="35">
        <v>3684455636</v>
      </c>
      <c r="L12" s="35">
        <f>+K12+(I34-H34)+(L34-K34)</f>
        <v>3726024086</v>
      </c>
      <c r="N12" s="35">
        <v>5497830549</v>
      </c>
      <c r="O12" s="35"/>
      <c r="P12" s="35">
        <v>7437189514</v>
      </c>
      <c r="Q12" s="35"/>
      <c r="R12" s="35">
        <v>9583763863</v>
      </c>
      <c r="S12" s="35"/>
      <c r="T12" s="35">
        <f>12215763863-40000000</f>
        <v>12175763863</v>
      </c>
    </row>
    <row r="13" spans="1:20" x14ac:dyDescent="0.35">
      <c r="A13" s="1" t="s">
        <v>83</v>
      </c>
      <c r="B13" s="1"/>
      <c r="C13" s="1"/>
      <c r="D13" s="1"/>
      <c r="E13" s="1"/>
      <c r="F13" s="35">
        <v>23181652.717565745</v>
      </c>
      <c r="G13" s="13"/>
      <c r="H13" s="35">
        <f>+F13</f>
        <v>23181652.717565745</v>
      </c>
      <c r="I13" s="35">
        <f>+H13</f>
        <v>23181652.717565745</v>
      </c>
      <c r="J13" s="46"/>
      <c r="K13" s="35">
        <v>0</v>
      </c>
      <c r="L13" s="35">
        <f>+K13</f>
        <v>0</v>
      </c>
      <c r="N13" s="35">
        <v>0</v>
      </c>
      <c r="O13" s="35"/>
      <c r="P13" s="35">
        <v>0</v>
      </c>
      <c r="Q13" s="35"/>
      <c r="R13" s="35">
        <v>0</v>
      </c>
      <c r="S13" s="35"/>
      <c r="T13" s="35">
        <v>0</v>
      </c>
    </row>
    <row r="14" spans="1:20" x14ac:dyDescent="0.35">
      <c r="A14" s="1" t="s">
        <v>84</v>
      </c>
      <c r="B14" s="1"/>
      <c r="C14" s="1"/>
      <c r="D14" s="1"/>
      <c r="E14" s="1"/>
      <c r="F14" s="35">
        <v>0</v>
      </c>
      <c r="G14" s="13"/>
      <c r="H14" s="35">
        <f>+'[1]ER-PROYECTADO'!J15</f>
        <v>0</v>
      </c>
      <c r="I14" s="35">
        <f>+H14</f>
        <v>0</v>
      </c>
      <c r="J14" s="46"/>
      <c r="K14" s="35">
        <v>0</v>
      </c>
      <c r="L14" s="35">
        <f>+K14</f>
        <v>0</v>
      </c>
      <c r="N14" s="35">
        <v>0</v>
      </c>
      <c r="O14" s="35"/>
      <c r="P14" s="35">
        <v>0</v>
      </c>
      <c r="Q14" s="35"/>
      <c r="R14" s="35">
        <v>0</v>
      </c>
      <c r="S14" s="35"/>
      <c r="T14" s="35">
        <v>0</v>
      </c>
    </row>
    <row r="15" spans="1:20" x14ac:dyDescent="0.35">
      <c r="A15" s="11" t="s">
        <v>85</v>
      </c>
      <c r="B15" s="1"/>
      <c r="C15" s="1"/>
      <c r="D15" s="1"/>
      <c r="E15" s="1"/>
      <c r="F15" s="33">
        <f>+F16</f>
        <v>4514624.944434749</v>
      </c>
      <c r="G15" s="13"/>
      <c r="H15" s="36">
        <f>+SUM(H16)</f>
        <v>4514624.944434749</v>
      </c>
      <c r="I15" s="36">
        <f>+SUM(I16)</f>
        <v>4514624.944434749</v>
      </c>
      <c r="J15" s="47"/>
      <c r="K15" s="36">
        <v>0</v>
      </c>
      <c r="L15" s="36">
        <f>+SUM(L16)</f>
        <v>0</v>
      </c>
      <c r="N15" s="36">
        <v>0</v>
      </c>
      <c r="P15" s="36">
        <v>0</v>
      </c>
      <c r="R15" s="36">
        <v>0</v>
      </c>
      <c r="T15" s="36">
        <v>0</v>
      </c>
    </row>
    <row r="16" spans="1:20" x14ac:dyDescent="0.35">
      <c r="A16" s="1" t="s">
        <v>86</v>
      </c>
      <c r="B16" s="1"/>
      <c r="C16" s="1"/>
      <c r="D16" s="1"/>
      <c r="E16" s="1"/>
      <c r="F16" s="35">
        <v>4514624.944434749</v>
      </c>
      <c r="G16" s="13"/>
      <c r="H16" s="37">
        <f>+F16</f>
        <v>4514624.944434749</v>
      </c>
      <c r="I16" s="37">
        <f>+H16</f>
        <v>4514624.944434749</v>
      </c>
      <c r="J16" s="47"/>
      <c r="K16" s="37">
        <v>0</v>
      </c>
      <c r="L16" s="37">
        <f>+K16</f>
        <v>0</v>
      </c>
      <c r="N16" s="37">
        <v>0</v>
      </c>
      <c r="P16" s="37">
        <v>0</v>
      </c>
      <c r="R16" s="37">
        <v>0</v>
      </c>
      <c r="T16" s="37">
        <v>0</v>
      </c>
    </row>
    <row r="17" spans="1:22" x14ac:dyDescent="0.35">
      <c r="A17" s="11" t="s">
        <v>87</v>
      </c>
      <c r="B17" s="1"/>
      <c r="C17" s="1"/>
      <c r="D17" s="1"/>
      <c r="E17" s="1"/>
      <c r="F17" s="33">
        <v>17599209.058760002</v>
      </c>
      <c r="G17" s="13"/>
      <c r="H17" s="36">
        <f>+F17</f>
        <v>17599209.058760002</v>
      </c>
      <c r="I17" s="36">
        <f>+H17</f>
        <v>17599209.058760002</v>
      </c>
      <c r="J17" s="47"/>
      <c r="K17" s="36">
        <v>17599209.058760002</v>
      </c>
      <c r="L17" s="36">
        <f>+K17</f>
        <v>17599209.058760002</v>
      </c>
      <c r="N17" s="36">
        <v>17599209.058760002</v>
      </c>
      <c r="P17" s="36">
        <v>17599209.058760002</v>
      </c>
      <c r="R17" s="36">
        <v>17599209.058760002</v>
      </c>
      <c r="T17" s="36">
        <v>17599209.058760002</v>
      </c>
    </row>
    <row r="18" spans="1:22" x14ac:dyDescent="0.35">
      <c r="A18" s="11" t="s">
        <v>88</v>
      </c>
      <c r="B18" s="1"/>
      <c r="C18" s="1"/>
      <c r="D18" s="1"/>
      <c r="E18" s="1"/>
      <c r="F18" s="33">
        <f>+SUM(F19:F20)</f>
        <v>16980304.298862491</v>
      </c>
      <c r="G18" s="13"/>
      <c r="H18" s="36">
        <f>+SUM(H19:H20)</f>
        <v>16980304.298862491</v>
      </c>
      <c r="I18" s="36">
        <f>+SUM(I19:I20)</f>
        <v>16980304.298862491</v>
      </c>
      <c r="J18" s="47"/>
      <c r="K18" s="36">
        <v>16980304.298862491</v>
      </c>
      <c r="L18" s="36">
        <f>+SUM(L19:L20)</f>
        <v>16980304.298862491</v>
      </c>
      <c r="N18" s="36">
        <v>16980304.298862491</v>
      </c>
      <c r="P18" s="36">
        <v>16980304.298862491</v>
      </c>
      <c r="R18" s="36">
        <v>16980304.298862491</v>
      </c>
      <c r="T18" s="36">
        <v>16980304.298862491</v>
      </c>
    </row>
    <row r="19" spans="1:22" x14ac:dyDescent="0.35">
      <c r="A19" s="1" t="s">
        <v>89</v>
      </c>
      <c r="B19" s="1"/>
      <c r="C19" s="1"/>
      <c r="D19" s="1"/>
      <c r="E19" s="1"/>
      <c r="F19" s="35">
        <v>15424727.228862492</v>
      </c>
      <c r="G19" s="13"/>
      <c r="H19" s="37">
        <f>+F19</f>
        <v>15424727.228862492</v>
      </c>
      <c r="I19" s="37">
        <f>+H19</f>
        <v>15424727.228862492</v>
      </c>
      <c r="J19" s="47"/>
      <c r="K19" s="37">
        <v>15424727.228862492</v>
      </c>
      <c r="L19" s="37">
        <f>+K19</f>
        <v>15424727.228862492</v>
      </c>
      <c r="N19" s="37">
        <v>15424727.228862492</v>
      </c>
      <c r="P19" s="37">
        <v>15424727.228862492</v>
      </c>
      <c r="R19" s="37">
        <v>15424727.228862492</v>
      </c>
      <c r="T19" s="37">
        <v>15424727.228862492</v>
      </c>
    </row>
    <row r="20" spans="1:22" x14ac:dyDescent="0.35">
      <c r="A20" s="1" t="s">
        <v>90</v>
      </c>
      <c r="B20" s="1"/>
      <c r="C20" s="1"/>
      <c r="D20" s="1"/>
      <c r="E20" s="1"/>
      <c r="F20" s="35">
        <v>1555577.07</v>
      </c>
      <c r="G20" s="13"/>
      <c r="H20" s="37">
        <f>+F20</f>
        <v>1555577.07</v>
      </c>
      <c r="I20" s="37">
        <f>+H20</f>
        <v>1555577.07</v>
      </c>
      <c r="J20" s="47"/>
      <c r="K20" s="37">
        <v>1555577.07</v>
      </c>
      <c r="L20" s="37">
        <f>+K20</f>
        <v>1555577.07</v>
      </c>
      <c r="N20" s="37">
        <v>1555577.07</v>
      </c>
      <c r="P20" s="37">
        <v>1555577.07</v>
      </c>
      <c r="R20" s="37">
        <v>1555577.07</v>
      </c>
      <c r="T20" s="37">
        <v>1555577.07</v>
      </c>
    </row>
    <row r="21" spans="1:22" ht="15" thickBot="1" x14ac:dyDescent="0.4">
      <c r="A21" s="11" t="s">
        <v>91</v>
      </c>
      <c r="B21" s="1"/>
      <c r="C21" s="1"/>
      <c r="D21" s="1"/>
      <c r="E21" s="1"/>
      <c r="F21" s="38">
        <f>+F8+F11+F15+F17+F18</f>
        <v>3083109279.9905224</v>
      </c>
      <c r="G21" s="13"/>
      <c r="H21" s="38">
        <f>+H8+H11+H15+H17+H18</f>
        <v>3161190993.8370328</v>
      </c>
      <c r="I21" s="38">
        <f>+I8+I11+I15+I17+I18</f>
        <v>3174819993.8370328</v>
      </c>
      <c r="J21" s="42"/>
      <c r="K21" s="38">
        <f>+K8+K11+K15+K17+K18</f>
        <v>3782887625.3576226</v>
      </c>
      <c r="L21" s="38">
        <f>+L8+L11+L15+L17+L18</f>
        <v>3824456075.3576226</v>
      </c>
      <c r="N21" s="38">
        <f>+N8+N11+N15+N17+N18</f>
        <v>5623834849.3576221</v>
      </c>
      <c r="O21" s="1"/>
      <c r="P21" s="38">
        <f>+P8+P11+P15+P17+P18</f>
        <v>7532064456.3576221</v>
      </c>
      <c r="Q21" s="1"/>
      <c r="R21" s="38">
        <f>+R8+R11+R15+R17+R18</f>
        <v>9636519720.3576221</v>
      </c>
      <c r="S21" s="1"/>
      <c r="T21" s="38">
        <f>+T8+T11+T15+T17+T18</f>
        <v>12211856686.357622</v>
      </c>
    </row>
    <row r="22" spans="1:22" ht="15" thickTop="1" x14ac:dyDescent="0.35">
      <c r="A22" s="1"/>
      <c r="B22" s="1"/>
      <c r="C22" s="1"/>
      <c r="D22" s="1"/>
      <c r="E22" s="1"/>
      <c r="F22" s="35"/>
      <c r="G22" s="13"/>
      <c r="H22" s="13"/>
      <c r="I22" s="13"/>
      <c r="J22" s="45"/>
      <c r="K22" s="13"/>
      <c r="L22" s="13"/>
    </row>
    <row r="23" spans="1:22" x14ac:dyDescent="0.35">
      <c r="A23" s="31" t="s">
        <v>92</v>
      </c>
      <c r="B23" s="1"/>
      <c r="C23" s="1"/>
      <c r="D23" s="1"/>
      <c r="E23" s="1"/>
      <c r="F23" s="35"/>
      <c r="G23" s="13"/>
      <c r="H23" s="13"/>
      <c r="I23" s="13"/>
      <c r="J23" s="45"/>
      <c r="K23" s="13"/>
      <c r="L23" s="13"/>
    </row>
    <row r="24" spans="1:22" x14ac:dyDescent="0.35">
      <c r="A24" s="31" t="s">
        <v>93</v>
      </c>
      <c r="B24" s="1"/>
      <c r="C24" s="1"/>
      <c r="D24" s="1"/>
      <c r="E24" s="1"/>
      <c r="F24" s="35"/>
      <c r="G24" s="13"/>
      <c r="H24" s="37"/>
      <c r="I24" s="37"/>
      <c r="J24" s="47"/>
      <c r="K24" s="37"/>
      <c r="L24" s="37"/>
      <c r="N24" s="70">
        <v>0</v>
      </c>
      <c r="O24" s="70"/>
      <c r="P24" s="70">
        <v>0</v>
      </c>
      <c r="Q24" s="70"/>
      <c r="R24" s="70">
        <v>0</v>
      </c>
      <c r="S24" s="70"/>
      <c r="T24" s="70">
        <v>0</v>
      </c>
    </row>
    <row r="25" spans="1:22" x14ac:dyDescent="0.35">
      <c r="A25" s="1" t="s">
        <v>94</v>
      </c>
      <c r="B25" s="1"/>
      <c r="C25" s="1"/>
      <c r="D25" s="1"/>
      <c r="E25" s="1"/>
      <c r="F25" s="39">
        <v>19754939.824984916</v>
      </c>
      <c r="G25" s="13"/>
      <c r="H25" s="37">
        <f>+F25</f>
        <v>19754939.824984916</v>
      </c>
      <c r="I25" s="37">
        <f>+H25</f>
        <v>19754939.824984916</v>
      </c>
      <c r="J25" s="47"/>
      <c r="K25" s="37">
        <v>0</v>
      </c>
      <c r="L25" s="37"/>
      <c r="N25" s="55">
        <v>0</v>
      </c>
      <c r="O25" s="70"/>
      <c r="P25" s="55">
        <v>0</v>
      </c>
      <c r="Q25" s="70"/>
      <c r="R25" s="55">
        <v>0</v>
      </c>
      <c r="S25" s="55"/>
      <c r="T25" s="70">
        <v>0</v>
      </c>
    </row>
    <row r="26" spans="1:22" x14ac:dyDescent="0.35">
      <c r="A26" s="1" t="s">
        <v>95</v>
      </c>
      <c r="B26" s="1"/>
      <c r="C26" s="1"/>
      <c r="D26" s="1"/>
      <c r="E26" s="1"/>
      <c r="F26" s="35">
        <v>0</v>
      </c>
      <c r="G26" s="13"/>
      <c r="H26" s="13">
        <f>+(F26/3)*12</f>
        <v>0</v>
      </c>
      <c r="I26" s="13">
        <f>+H26</f>
        <v>0</v>
      </c>
      <c r="J26" s="45"/>
      <c r="K26" s="13">
        <f>+H26</f>
        <v>0</v>
      </c>
      <c r="L26" s="13"/>
      <c r="N26" s="13"/>
      <c r="O26" s="1"/>
      <c r="P26" s="13"/>
      <c r="Q26" s="1"/>
      <c r="R26" s="45"/>
      <c r="S26" s="45"/>
      <c r="T26" s="43"/>
    </row>
    <row r="27" spans="1:22" ht="15" thickBot="1" x14ac:dyDescent="0.4">
      <c r="A27" s="11" t="s">
        <v>96</v>
      </c>
      <c r="B27" s="1"/>
      <c r="C27" s="1"/>
      <c r="D27" s="1"/>
      <c r="E27" s="1"/>
      <c r="F27" s="40">
        <f>SUM(F25:F26)</f>
        <v>19754939.824984916</v>
      </c>
      <c r="G27" s="13"/>
      <c r="H27" s="40">
        <f>SUM(H25:H26)</f>
        <v>19754939.824984916</v>
      </c>
      <c r="I27" s="40">
        <f>+H27</f>
        <v>19754939.824984916</v>
      </c>
      <c r="J27" s="45"/>
      <c r="K27" s="40">
        <f>SUM(K25:K26)</f>
        <v>0</v>
      </c>
      <c r="L27" s="40"/>
      <c r="N27" s="40">
        <f>SUM(N25:N26)</f>
        <v>0</v>
      </c>
      <c r="O27" s="1"/>
      <c r="P27" s="40">
        <f>SUM(P25:P26)</f>
        <v>0</v>
      </c>
      <c r="Q27" s="1"/>
      <c r="R27" s="40">
        <f>SUM(R25:R26)</f>
        <v>0</v>
      </c>
      <c r="S27" s="1"/>
      <c r="T27" s="40">
        <f>SUM(T25:T26)</f>
        <v>0</v>
      </c>
      <c r="U27" s="1"/>
      <c r="V27" t="s">
        <v>111</v>
      </c>
    </row>
    <row r="28" spans="1:22" x14ac:dyDescent="0.35">
      <c r="A28" s="31" t="s">
        <v>97</v>
      </c>
      <c r="B28" s="1"/>
      <c r="C28" s="1"/>
      <c r="D28" s="1"/>
      <c r="E28" s="1"/>
      <c r="F28" s="35"/>
      <c r="G28" s="13"/>
      <c r="H28" s="13"/>
      <c r="I28" s="13"/>
      <c r="J28" s="45"/>
      <c r="K28" s="13"/>
      <c r="L28" s="13"/>
    </row>
    <row r="29" spans="1:22" x14ac:dyDescent="0.35">
      <c r="A29" s="11" t="s">
        <v>62</v>
      </c>
      <c r="B29" s="1"/>
      <c r="C29" s="1"/>
      <c r="D29" s="1"/>
      <c r="E29" s="1"/>
      <c r="F29" s="33">
        <v>2823000000</v>
      </c>
      <c r="G29" s="13"/>
      <c r="H29" s="34">
        <f>+SUM(H30:H31)</f>
        <v>2823000000</v>
      </c>
      <c r="I29" s="34">
        <f>+H29</f>
        <v>2823000000</v>
      </c>
      <c r="J29" s="45"/>
      <c r="K29" s="34">
        <f>SUM(K30:K31)</f>
        <v>3431405333.49612</v>
      </c>
      <c r="L29" s="34">
        <f>+K29</f>
        <v>3431405333.49612</v>
      </c>
      <c r="N29" s="34">
        <f>SUM(N30:N31)</f>
        <v>4809780246.6137924</v>
      </c>
      <c r="O29" s="71"/>
      <c r="P29" s="34">
        <f>SUM(P30:P31)</f>
        <v>5549139211.9451647</v>
      </c>
      <c r="Q29" s="71"/>
      <c r="R29" s="34">
        <f>SUM(R30:R31)</f>
        <v>5765713561.0498743</v>
      </c>
      <c r="S29" s="71"/>
      <c r="T29" s="34">
        <f>SUM(T30:T31)</f>
        <v>5837713561.0498743</v>
      </c>
    </row>
    <row r="30" spans="1:22" x14ac:dyDescent="0.35">
      <c r="A30" s="1" t="s">
        <v>98</v>
      </c>
      <c r="B30" s="1"/>
      <c r="C30" s="1"/>
      <c r="D30" s="1"/>
      <c r="E30" s="1"/>
      <c r="F30" s="35">
        <v>2823000000</v>
      </c>
      <c r="G30" s="13"/>
      <c r="H30" s="13">
        <f>+F30</f>
        <v>2823000000</v>
      </c>
      <c r="I30" s="13">
        <f>+H30</f>
        <v>2823000000</v>
      </c>
      <c r="J30" s="45"/>
      <c r="K30" s="35">
        <f>+K45</f>
        <v>3431405333.49612</v>
      </c>
      <c r="L30" s="13">
        <f>+K30</f>
        <v>3431405333.49612</v>
      </c>
      <c r="N30" s="35">
        <f>+N45</f>
        <v>4809780246.6137924</v>
      </c>
      <c r="O30" s="72"/>
      <c r="P30" s="35">
        <f>+P45</f>
        <v>5549139211.9451647</v>
      </c>
      <c r="Q30" s="72"/>
      <c r="R30" s="35">
        <f>+R45</f>
        <v>5765713561.0498743</v>
      </c>
      <c r="S30" s="72"/>
      <c r="T30" s="35">
        <f>+T45</f>
        <v>5837713561.0498743</v>
      </c>
    </row>
    <row r="31" spans="1:22" x14ac:dyDescent="0.35">
      <c r="A31" s="1" t="s">
        <v>99</v>
      </c>
      <c r="B31" s="1"/>
      <c r="C31" s="1"/>
      <c r="D31" s="1"/>
      <c r="E31" s="1"/>
      <c r="F31" s="35">
        <v>0</v>
      </c>
      <c r="G31" s="13"/>
      <c r="H31" s="13"/>
      <c r="I31" s="13"/>
      <c r="J31" s="45"/>
      <c r="K31" s="13"/>
      <c r="L31" s="13"/>
      <c r="N31" s="13"/>
      <c r="O31" s="71"/>
      <c r="P31" s="13"/>
      <c r="Q31" s="71"/>
      <c r="R31" s="13"/>
      <c r="S31" s="71"/>
      <c r="T31" s="13"/>
    </row>
    <row r="32" spans="1:22" x14ac:dyDescent="0.35">
      <c r="A32" s="11" t="s">
        <v>100</v>
      </c>
      <c r="B32" s="1"/>
      <c r="C32" s="1"/>
      <c r="D32" s="1"/>
      <c r="E32" s="1"/>
      <c r="F32" s="33">
        <v>61258491.390000001</v>
      </c>
      <c r="G32" s="13"/>
      <c r="H32" s="34">
        <f>+F32+F33+F34</f>
        <v>240354340.17728633</v>
      </c>
      <c r="I32" s="34">
        <f>+H32</f>
        <v>240354340.17728633</v>
      </c>
      <c r="J32" s="45"/>
      <c r="K32" s="34">
        <v>318436054.02379692</v>
      </c>
      <c r="L32" s="34">
        <f>+I32+I34</f>
        <v>332065054.02379692</v>
      </c>
      <c r="N32" s="34">
        <f>+K32+K34</f>
        <v>351482291.25040525</v>
      </c>
      <c r="O32" s="71"/>
      <c r="P32" s="34">
        <f>+N32+N34</f>
        <v>814054602.03124475</v>
      </c>
      <c r="Q32" s="71"/>
      <c r="R32" s="34">
        <f>+P32+P34</f>
        <v>1982925243.9159718</v>
      </c>
      <c r="S32" s="71"/>
      <c r="T32" s="34">
        <f>+R32+R34</f>
        <v>3870806159.0733752</v>
      </c>
    </row>
    <row r="33" spans="1:20" x14ac:dyDescent="0.35">
      <c r="A33" s="11" t="s">
        <v>101</v>
      </c>
      <c r="B33" s="1"/>
      <c r="C33" s="1"/>
      <c r="D33" s="1"/>
      <c r="E33" s="1"/>
      <c r="F33" s="33">
        <v>136464659.15700069</v>
      </c>
      <c r="G33" s="13"/>
      <c r="H33" s="33">
        <v>0</v>
      </c>
      <c r="I33" s="33">
        <f>+H33</f>
        <v>0</v>
      </c>
      <c r="J33" s="45"/>
      <c r="K33" s="33">
        <v>0</v>
      </c>
      <c r="L33" s="33">
        <f>+K33</f>
        <v>0</v>
      </c>
      <c r="N33" s="33">
        <v>0</v>
      </c>
      <c r="O33" s="71"/>
      <c r="P33" s="33">
        <v>0</v>
      </c>
      <c r="Q33" s="71"/>
      <c r="R33" s="33">
        <v>0</v>
      </c>
      <c r="S33" s="71"/>
      <c r="T33" s="33">
        <v>0</v>
      </c>
    </row>
    <row r="34" spans="1:20" x14ac:dyDescent="0.35">
      <c r="A34" s="11" t="s">
        <v>102</v>
      </c>
      <c r="B34" s="1"/>
      <c r="C34" s="1"/>
      <c r="D34" s="1"/>
      <c r="E34" s="1"/>
      <c r="F34" s="33">
        <v>42631189.630285621</v>
      </c>
      <c r="G34" s="13"/>
      <c r="H34" s="13">
        <f>+'[1]ER-PROYECTADO'!J33</f>
        <v>78081713.846510589</v>
      </c>
      <c r="I34" s="13">
        <f>+'ER PROYECTADO '!L33</f>
        <v>91710713.846510589</v>
      </c>
      <c r="J34" s="45"/>
      <c r="K34" s="13">
        <f>+'ER PROYECTADO '!N33</f>
        <v>33046237.226608336</v>
      </c>
      <c r="L34" s="13">
        <f>+'ER PROYECTADO '!P33</f>
        <v>60985687.226608336</v>
      </c>
      <c r="N34" s="13">
        <f>+'ER PROYECTADO '!R33</f>
        <v>462572310.78083956</v>
      </c>
      <c r="O34" s="74"/>
      <c r="P34" s="13">
        <f>+'ER PROYECTADO '!T33</f>
        <v>1168870641.884727</v>
      </c>
      <c r="Q34" s="74"/>
      <c r="R34" s="13">
        <f>+'ER PROYECTADO '!V33</f>
        <v>1887880915.1574035</v>
      </c>
      <c r="S34" s="74"/>
      <c r="T34" s="13">
        <f>+'ER PROYECTADO '!X33</f>
        <v>2503336966.0726657</v>
      </c>
    </row>
    <row r="35" spans="1:20" ht="15" thickBot="1" x14ac:dyDescent="0.4">
      <c r="A35" s="11" t="s">
        <v>103</v>
      </c>
      <c r="B35" s="1"/>
      <c r="C35" s="1"/>
      <c r="D35" s="1"/>
      <c r="E35" s="1"/>
      <c r="F35" s="40">
        <f>+SUM(F30:F34)</f>
        <v>3063354340.1772861</v>
      </c>
      <c r="G35" s="13"/>
      <c r="H35" s="40">
        <f>+H29+H32+H33+H34</f>
        <v>3141436054.0237966</v>
      </c>
      <c r="I35" s="40">
        <f>+I29+I32+I33+I34</f>
        <v>3155065054.0237966</v>
      </c>
      <c r="J35" s="45"/>
      <c r="K35" s="40">
        <f>+K29+K32+K33+K34</f>
        <v>3782887624.7465253</v>
      </c>
      <c r="L35" s="40">
        <f>+L29+L32+L33+L34</f>
        <v>3824456074.7465253</v>
      </c>
      <c r="N35" s="40">
        <f>+N29+N32+N33+N34</f>
        <v>5623834848.6450377</v>
      </c>
      <c r="O35" s="71"/>
      <c r="P35" s="40">
        <f>+P29+P32+P33+P34</f>
        <v>7532064455.8611374</v>
      </c>
      <c r="Q35" s="71"/>
      <c r="R35" s="40">
        <f>+R29+R32+R33+R34</f>
        <v>9636519720.1232491</v>
      </c>
      <c r="S35" s="71"/>
      <c r="T35" s="40">
        <f>+T29+T32+T33+T34</f>
        <v>12211856686.195915</v>
      </c>
    </row>
    <row r="36" spans="1:20" ht="15" thickBot="1" x14ac:dyDescent="0.4">
      <c r="A36" s="11" t="s">
        <v>104</v>
      </c>
      <c r="B36" s="1"/>
      <c r="C36" s="1"/>
      <c r="D36" s="1"/>
      <c r="E36" s="1"/>
      <c r="F36" s="38">
        <f>+F27+F35</f>
        <v>3083109280.0022712</v>
      </c>
      <c r="G36" s="13"/>
      <c r="H36" s="38">
        <f>+H27+H35</f>
        <v>3161190993.8487816</v>
      </c>
      <c r="I36" s="38">
        <f>+I27+I35</f>
        <v>3174819993.8487816</v>
      </c>
      <c r="J36" s="45"/>
      <c r="K36" s="38">
        <f>+K27+K35</f>
        <v>3782887624.7465253</v>
      </c>
      <c r="L36" s="38">
        <f>+L27+L35</f>
        <v>3824456074.7465253</v>
      </c>
      <c r="N36" s="38">
        <f>+N27+N35</f>
        <v>5623834848.6450377</v>
      </c>
      <c r="O36" s="71"/>
      <c r="P36" s="38">
        <f>+P27+P35</f>
        <v>7532064455.8611374</v>
      </c>
      <c r="Q36" s="71"/>
      <c r="R36" s="38">
        <f>+R27+R35</f>
        <v>9636519720.1232491</v>
      </c>
      <c r="S36" s="71"/>
      <c r="T36" s="38">
        <f>+T27+T35</f>
        <v>12211856686.195915</v>
      </c>
    </row>
    <row r="37" spans="1:20" ht="15" thickTop="1" x14ac:dyDescent="0.35">
      <c r="K37" s="84"/>
      <c r="N37" s="84"/>
      <c r="P37" s="84"/>
      <c r="R37" s="84"/>
      <c r="T37" s="84"/>
    </row>
    <row r="38" spans="1:20" x14ac:dyDescent="0.35">
      <c r="I38" s="68"/>
    </row>
    <row r="39" spans="1:20" x14ac:dyDescent="0.35">
      <c r="A39" s="87" t="s">
        <v>116</v>
      </c>
      <c r="B39" s="88"/>
      <c r="C39" s="88"/>
      <c r="D39" s="88"/>
      <c r="E39" s="88"/>
      <c r="F39" s="88"/>
      <c r="G39" s="88"/>
      <c r="H39" s="89">
        <v>2020</v>
      </c>
      <c r="I39" s="90"/>
      <c r="J39" s="91"/>
      <c r="K39" s="92">
        <v>2021</v>
      </c>
      <c r="L39" s="89"/>
      <c r="M39" s="89"/>
      <c r="N39" s="89">
        <v>2022</v>
      </c>
      <c r="O39" s="89"/>
      <c r="P39" s="89">
        <v>2023</v>
      </c>
      <c r="Q39" s="89"/>
      <c r="R39" s="89">
        <v>2024</v>
      </c>
      <c r="S39" s="89"/>
      <c r="T39" s="89">
        <v>2025</v>
      </c>
    </row>
    <row r="40" spans="1:20" x14ac:dyDescent="0.35">
      <c r="A40" s="86" t="s">
        <v>117</v>
      </c>
      <c r="H40" s="70">
        <f>+I30</f>
        <v>2823000000</v>
      </c>
      <c r="K40" s="70">
        <f>+H40</f>
        <v>2823000000</v>
      </c>
      <c r="N40" s="85">
        <f>+K45</f>
        <v>3431405333.49612</v>
      </c>
      <c r="P40" s="85">
        <f>+N45</f>
        <v>4809780246.6137924</v>
      </c>
      <c r="R40" s="85">
        <f>+P45</f>
        <v>5549139211.9451647</v>
      </c>
      <c r="T40" s="85">
        <f>+R45</f>
        <v>5765713561.0498743</v>
      </c>
    </row>
    <row r="41" spans="1:20" x14ac:dyDescent="0.35">
      <c r="A41" s="86" t="s">
        <v>118</v>
      </c>
      <c r="H41" s="70">
        <v>0</v>
      </c>
      <c r="K41" s="70">
        <v>0</v>
      </c>
      <c r="N41" s="85">
        <v>144000000</v>
      </c>
      <c r="P41" s="85">
        <v>0</v>
      </c>
      <c r="R41" s="85">
        <v>0</v>
      </c>
      <c r="T41" s="70">
        <v>72000000</v>
      </c>
    </row>
    <row r="42" spans="1:20" x14ac:dyDescent="0.35">
      <c r="A42" s="86" t="s">
        <v>119</v>
      </c>
      <c r="H42" s="70">
        <v>0</v>
      </c>
      <c r="K42" s="70">
        <v>-100500000</v>
      </c>
      <c r="N42" s="85">
        <v>0</v>
      </c>
      <c r="P42" s="70">
        <v>0</v>
      </c>
      <c r="R42" s="70">
        <v>0</v>
      </c>
      <c r="T42" s="70">
        <v>0</v>
      </c>
    </row>
    <row r="43" spans="1:20" x14ac:dyDescent="0.35">
      <c r="A43" s="86" t="s">
        <v>120</v>
      </c>
      <c r="H43" s="70">
        <v>0</v>
      </c>
      <c r="K43" s="70">
        <f>+(-550500000/4)</f>
        <v>-137625000</v>
      </c>
      <c r="N43" s="85">
        <f>+K43</f>
        <v>-137625000</v>
      </c>
      <c r="P43" s="85">
        <f>+N43</f>
        <v>-137625000</v>
      </c>
      <c r="R43" s="85">
        <f>+P43</f>
        <v>-137625000</v>
      </c>
      <c r="T43" s="85">
        <v>0</v>
      </c>
    </row>
    <row r="44" spans="1:20" x14ac:dyDescent="0.35">
      <c r="A44" s="86" t="s">
        <v>121</v>
      </c>
      <c r="H44" s="70">
        <v>0</v>
      </c>
      <c r="K44" s="70">
        <f>+'ER PROYECTADO '!N37</f>
        <v>846530333.49611998</v>
      </c>
      <c r="N44" s="70">
        <f>+'ER PROYECTADO '!R37</f>
        <v>1371999913.1176722</v>
      </c>
      <c r="P44" s="70">
        <f>+'ER PROYECTADO '!T37</f>
        <v>876983965.3313719</v>
      </c>
      <c r="R44" s="70">
        <f>+'ER PROYECTADO '!V37</f>
        <v>354199349.10470939</v>
      </c>
      <c r="T44" s="70">
        <v>0</v>
      </c>
    </row>
    <row r="45" spans="1:20" x14ac:dyDescent="0.35">
      <c r="A45" s="11" t="s">
        <v>122</v>
      </c>
      <c r="B45" s="94"/>
      <c r="C45" s="94"/>
      <c r="D45" s="94"/>
      <c r="E45" s="94"/>
      <c r="F45" s="94"/>
      <c r="G45" s="94"/>
      <c r="H45" s="95">
        <f>SUM(H40:H44)</f>
        <v>2823000000</v>
      </c>
      <c r="I45" s="94"/>
      <c r="J45" s="96"/>
      <c r="K45" s="95">
        <f>SUM(K40:K44)</f>
        <v>3431405333.49612</v>
      </c>
      <c r="L45" s="94"/>
      <c r="M45" s="94"/>
      <c r="N45" s="95">
        <f>SUM(N40:N44)</f>
        <v>4809780246.6137924</v>
      </c>
      <c r="O45" s="94"/>
      <c r="P45" s="95">
        <f>SUM(P40:P44)</f>
        <v>5549139211.9451647</v>
      </c>
      <c r="Q45" s="94"/>
      <c r="R45" s="95">
        <f>SUM(R40:R44)</f>
        <v>5765713561.0498743</v>
      </c>
      <c r="S45" s="94"/>
      <c r="T45" s="95">
        <f>SUM(T40:T44)</f>
        <v>5837713561.0498743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ignoredErrors>
    <ignoredError sqref="L15:L19 I15:I18 H18" formula="1"/>
    <ignoredError sqref="K11 N11 P11 N27:T27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0B497875447D4F8F49CD8CAB96A0BB" ma:contentTypeVersion="11" ma:contentTypeDescription="Crear nuevo documento." ma:contentTypeScope="" ma:versionID="446cf07ff2d28dde3bc14ae16c7f0b24">
  <xsd:schema xmlns:xsd="http://www.w3.org/2001/XMLSchema" xmlns:xs="http://www.w3.org/2001/XMLSchema" xmlns:p="http://schemas.microsoft.com/office/2006/metadata/properties" xmlns:ns3="0fdbf4b0-d72f-4644-8ed9-65a2316f2c81" xmlns:ns4="9ed96a35-15b8-4805-a711-19242ed73005" targetNamespace="http://schemas.microsoft.com/office/2006/metadata/properties" ma:root="true" ma:fieldsID="1312524553ff5c6b759500b1ecbb437d" ns3:_="" ns4:_="">
    <xsd:import namespace="0fdbf4b0-d72f-4644-8ed9-65a2316f2c81"/>
    <xsd:import namespace="9ed96a35-15b8-4805-a711-19242ed730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dbf4b0-d72f-4644-8ed9-65a2316f2c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96a35-15b8-4805-a711-19242ed7300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D0C829-834B-4428-B5F9-4E7503CAD1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288DA9-914C-4B92-80EE-8A765E300E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dbf4b0-d72f-4644-8ed9-65a2316f2c81"/>
    <ds:schemaRef ds:uri="9ed96a35-15b8-4805-a711-19242ed730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9E4A01-3AA7-487C-85B2-9665B1716B29}">
  <ds:schemaRefs>
    <ds:schemaRef ds:uri="http://www.w3.org/XML/1998/namespace"/>
    <ds:schemaRef ds:uri="http://schemas.microsoft.com/office/2006/metadata/properties"/>
    <ds:schemaRef ds:uri="http://purl.org/dc/elements/1.1/"/>
    <ds:schemaRef ds:uri="9ed96a35-15b8-4805-a711-19242ed73005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fdbf4b0-d72f-4644-8ed9-65a2316f2c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Supuestos-Crisis</vt:lpstr>
      <vt:lpstr>ER PROYECTADO </vt:lpstr>
      <vt:lpstr>BG PROYECTADO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Salazar - Analista de Riesgos</dc:creator>
  <cp:lastModifiedBy>Gina Muñoz</cp:lastModifiedBy>
  <dcterms:created xsi:type="dcterms:W3CDTF">2020-06-09T14:44:32Z</dcterms:created>
  <dcterms:modified xsi:type="dcterms:W3CDTF">2020-06-10T21:40:10Z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0x010100400B497875447D4F8F49CD8CAB96A0BB</vt:lpwstr>
  </property>
</Properties>
</file>