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ina.munoz\Desktop\"/>
    </mc:Choice>
  </mc:AlternateContent>
  <xr:revisionPtr revIDLastSave="0" documentId="8_{E68A8AF3-89D4-4686-A541-25979A515129}" xr6:coauthVersionLast="45" xr6:coauthVersionMax="45" xr10:uidLastSave="{00000000-0000-0000-0000-000000000000}"/>
  <bookViews>
    <workbookView xWindow="0" yWindow="220" windowWidth="18880" windowHeight="9980" firstSheet="2" activeTab="2" xr2:uid="{6E20DD4A-C630-48CB-A81F-D7B9E380BAEB}"/>
  </bookViews>
  <sheets>
    <sheet name="Cartera de Crédito" sheetId="1" state="hidden" r:id="rId1"/>
    <sheet name="Resumen" sheetId="12" state="hidden" r:id="rId2"/>
    <sheet name="Modelo Ingresos-Gastos (210)" sheetId="4" r:id="rId3"/>
    <sheet name="Modelo Ingresos-Gastos (130)" sheetId="5" state="hidden" r:id="rId4"/>
    <sheet name="Modelo Ingresos-Gasto (120+130)" sheetId="8" state="hidden" r:id="rId5"/>
    <sheet name="Modelo Ingresos-Gastos (10,000)" sheetId="11" state="hidden" r:id="rId6"/>
    <sheet name="Cédula de captaciones CAC´s" sheetId="3" state="hidden" r:id="rId7"/>
    <sheet name="Cédula Cartera Crédito CAC´s" sheetId="6" state="hidden" r:id="rId8"/>
    <sheet name="Cédula Act-Productivo CAC´s" sheetId="7" state="hidden" r:id="rId9"/>
    <sheet name="Cédula Activo Total CAC´s" sheetId="10" state="hidden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7" i="4" l="1"/>
  <c r="D57" i="4"/>
  <c r="E57" i="4"/>
  <c r="G26" i="10"/>
  <c r="F57" i="4"/>
  <c r="F55" i="4"/>
  <c r="F56" i="4"/>
  <c r="F54" i="4"/>
  <c r="F53" i="4"/>
  <c r="F52" i="4"/>
  <c r="F51" i="4"/>
  <c r="F50" i="4"/>
  <c r="F49" i="4"/>
  <c r="F48" i="4"/>
  <c r="F47" i="4"/>
  <c r="F46" i="4"/>
  <c r="F45" i="4"/>
  <c r="E46" i="4"/>
  <c r="E47" i="4"/>
  <c r="E48" i="4"/>
  <c r="E49" i="4"/>
  <c r="E50" i="4"/>
  <c r="E51" i="4"/>
  <c r="E52" i="4"/>
  <c r="E53" i="4"/>
  <c r="E54" i="4"/>
  <c r="E55" i="4"/>
  <c r="E56" i="4"/>
  <c r="E45" i="4"/>
  <c r="C29" i="11"/>
  <c r="C30" i="11" s="1"/>
  <c r="C31" i="11"/>
  <c r="F30" i="11"/>
  <c r="F29" i="11"/>
  <c r="E30" i="11"/>
  <c r="E29" i="11"/>
  <c r="C41" i="12" l="1"/>
  <c r="C39" i="12"/>
  <c r="H29" i="11" l="1"/>
  <c r="H33" i="11" s="1"/>
  <c r="H35" i="11" s="1"/>
  <c r="H39" i="11" s="1"/>
  <c r="H30" i="11"/>
  <c r="H31" i="11"/>
  <c r="H34" i="11"/>
  <c r="H37" i="11"/>
  <c r="D29" i="12"/>
  <c r="E29" i="12"/>
  <c r="F29" i="12"/>
  <c r="G29" i="12"/>
  <c r="C29" i="12"/>
  <c r="D28" i="12"/>
  <c r="E28" i="12"/>
  <c r="F28" i="12"/>
  <c r="G28" i="12"/>
  <c r="C28" i="12"/>
  <c r="C15" i="12"/>
  <c r="C14" i="12"/>
  <c r="F26" i="11"/>
  <c r="F34" i="11" s="1"/>
  <c r="F9" i="11"/>
  <c r="D9" i="11"/>
  <c r="E9" i="11" s="1"/>
  <c r="B9" i="11"/>
  <c r="C9" i="11" s="1"/>
  <c r="J8" i="10"/>
  <c r="J7" i="10"/>
  <c r="J6" i="10"/>
  <c r="J5" i="10"/>
  <c r="J4" i="10"/>
  <c r="F3" i="10"/>
  <c r="C26" i="10"/>
  <c r="C37" i="11"/>
  <c r="D37" i="11" s="1"/>
  <c r="C26" i="11"/>
  <c r="D26" i="11" s="1"/>
  <c r="H41" i="10" a="1"/>
  <c r="K41" i="10" s="1"/>
  <c r="L41" i="10" s="1"/>
  <c r="H40" i="10" a="1"/>
  <c r="K40" i="10" s="1"/>
  <c r="L40" i="10" s="1"/>
  <c r="H39" i="10" a="1"/>
  <c r="K39" i="10" s="1"/>
  <c r="L39" i="10" s="1"/>
  <c r="I38" i="10"/>
  <c r="K38" i="10" s="1"/>
  <c r="L38" i="10" s="1"/>
  <c r="H38" i="10"/>
  <c r="I37" i="10"/>
  <c r="K37" i="10" s="1"/>
  <c r="L37" i="10" s="1"/>
  <c r="H37" i="10"/>
  <c r="J36" i="10"/>
  <c r="I36" i="10"/>
  <c r="K36" i="10" s="1"/>
  <c r="L36" i="10" s="1"/>
  <c r="H36" i="10"/>
  <c r="J35" i="10"/>
  <c r="I35" i="10"/>
  <c r="K35" i="10" s="1"/>
  <c r="L35" i="10" s="1"/>
  <c r="H35" i="10"/>
  <c r="J34" i="10"/>
  <c r="I34" i="10"/>
  <c r="K34" i="10" s="1"/>
  <c r="L34" i="10" s="1"/>
  <c r="H34" i="10"/>
  <c r="K33" i="10"/>
  <c r="L33" i="10" s="1"/>
  <c r="J33" i="10"/>
  <c r="I33" i="10"/>
  <c r="H33" i="10"/>
  <c r="J32" i="10"/>
  <c r="I32" i="10"/>
  <c r="K32" i="10" s="1"/>
  <c r="L32" i="10" s="1"/>
  <c r="H32" i="10"/>
  <c r="J31" i="10"/>
  <c r="I31" i="10"/>
  <c r="K31" i="10" s="1"/>
  <c r="L31" i="10" s="1"/>
  <c r="H31" i="10"/>
  <c r="J30" i="10"/>
  <c r="J42" i="10" s="1"/>
  <c r="I30" i="10"/>
  <c r="H30" i="10"/>
  <c r="E26" i="10"/>
  <c r="D26" i="10"/>
  <c r="G25" i="10"/>
  <c r="F25" i="10"/>
  <c r="F24" i="10"/>
  <c r="G24" i="10" s="1"/>
  <c r="F23" i="10"/>
  <c r="G23" i="10" s="1"/>
  <c r="F22" i="10"/>
  <c r="G22" i="10" s="1"/>
  <c r="F21" i="10"/>
  <c r="G21" i="10" s="1"/>
  <c r="G20" i="10"/>
  <c r="F20" i="10"/>
  <c r="F19" i="10"/>
  <c r="G19" i="10" s="1"/>
  <c r="F18" i="10"/>
  <c r="G18" i="10" s="1"/>
  <c r="F17" i="10"/>
  <c r="G17" i="10" s="1"/>
  <c r="F16" i="10"/>
  <c r="G16" i="10" s="1"/>
  <c r="F15" i="10"/>
  <c r="G15" i="10" s="1"/>
  <c r="G14" i="10"/>
  <c r="F14" i="10"/>
  <c r="F13" i="10"/>
  <c r="G13" i="10" s="1"/>
  <c r="F12" i="10"/>
  <c r="G12" i="10" s="1"/>
  <c r="F11" i="10"/>
  <c r="G11" i="10" s="1"/>
  <c r="F10" i="10"/>
  <c r="G10" i="10" s="1"/>
  <c r="F9" i="10"/>
  <c r="G9" i="10" s="1"/>
  <c r="G8" i="10"/>
  <c r="F8" i="10"/>
  <c r="F7" i="10"/>
  <c r="G7" i="10" s="1"/>
  <c r="F6" i="10"/>
  <c r="G6" i="10" s="1"/>
  <c r="G5" i="10"/>
  <c r="F5" i="10"/>
  <c r="F4" i="10"/>
  <c r="G4" i="10" s="1"/>
  <c r="F9" i="8"/>
  <c r="F29" i="8" s="1"/>
  <c r="F30" i="8" s="1"/>
  <c r="E9" i="8"/>
  <c r="E29" i="8" s="1"/>
  <c r="E30" i="8" s="1"/>
  <c r="D9" i="8"/>
  <c r="D29" i="8" s="1"/>
  <c r="D30" i="8" s="1"/>
  <c r="C9" i="8"/>
  <c r="C29" i="8" s="1"/>
  <c r="B9" i="8"/>
  <c r="F24" i="6"/>
  <c r="C37" i="8"/>
  <c r="D37" i="8" s="1"/>
  <c r="E37" i="8" s="1"/>
  <c r="D26" i="8"/>
  <c r="D34" i="8" s="1"/>
  <c r="C26" i="8"/>
  <c r="C34" i="8" s="1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F3" i="6"/>
  <c r="I4" i="7"/>
  <c r="I5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3" i="7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3" i="3"/>
  <c r="G4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3" i="6"/>
  <c r="H26" i="7"/>
  <c r="H4" i="7"/>
  <c r="H5" i="7"/>
  <c r="H6" i="7"/>
  <c r="H7" i="7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3" i="7"/>
  <c r="M6" i="7"/>
  <c r="M5" i="7"/>
  <c r="M4" i="7"/>
  <c r="L8" i="7"/>
  <c r="L7" i="7"/>
  <c r="L6" i="7"/>
  <c r="L5" i="7"/>
  <c r="L4" i="7"/>
  <c r="M40" i="7"/>
  <c r="M39" i="7"/>
  <c r="M38" i="7"/>
  <c r="M37" i="7"/>
  <c r="M36" i="7"/>
  <c r="M35" i="7"/>
  <c r="M34" i="7"/>
  <c r="M33" i="7"/>
  <c r="M32" i="7"/>
  <c r="M31" i="7"/>
  <c r="M30" i="7"/>
  <c r="K42" i="7"/>
  <c r="K41" i="7"/>
  <c r="K40" i="7"/>
  <c r="N40" i="7" s="1"/>
  <c r="K39" i="7"/>
  <c r="J41" i="7"/>
  <c r="J40" i="7"/>
  <c r="J39" i="7"/>
  <c r="K38" i="7"/>
  <c r="N38" i="7" s="1"/>
  <c r="K37" i="7"/>
  <c r="N37" i="7" s="1"/>
  <c r="K36" i="7"/>
  <c r="N36" i="7" s="1"/>
  <c r="K35" i="7"/>
  <c r="N35" i="7" s="1"/>
  <c r="K34" i="7"/>
  <c r="N34" i="7" s="1"/>
  <c r="K33" i="7"/>
  <c r="K32" i="7"/>
  <c r="N32" i="7" s="1"/>
  <c r="K31" i="7"/>
  <c r="K30" i="7"/>
  <c r="E26" i="7"/>
  <c r="C26" i="7"/>
  <c r="E3" i="7"/>
  <c r="E4" i="7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J38" i="7"/>
  <c r="J37" i="7"/>
  <c r="L36" i="7"/>
  <c r="J36" i="7"/>
  <c r="L35" i="7"/>
  <c r="J35" i="7"/>
  <c r="L34" i="7"/>
  <c r="J34" i="7"/>
  <c r="N33" i="7"/>
  <c r="L33" i="7"/>
  <c r="J33" i="7"/>
  <c r="L32" i="7"/>
  <c r="J32" i="7"/>
  <c r="L31" i="7"/>
  <c r="J31" i="7"/>
  <c r="N30" i="7"/>
  <c r="L30" i="7"/>
  <c r="J30" i="7"/>
  <c r="G26" i="7"/>
  <c r="F26" i="8" s="1"/>
  <c r="F34" i="8" s="1"/>
  <c r="F26" i="7"/>
  <c r="D26" i="7"/>
  <c r="F26" i="5"/>
  <c r="G26" i="5" s="1"/>
  <c r="G34" i="5" s="1"/>
  <c r="F9" i="5"/>
  <c r="G9" i="5" s="1"/>
  <c r="G29" i="5" s="1"/>
  <c r="D9" i="5"/>
  <c r="D29" i="5" s="1"/>
  <c r="B9" i="5"/>
  <c r="C9" i="5" s="1"/>
  <c r="C29" i="5" s="1"/>
  <c r="J7" i="6"/>
  <c r="J6" i="6"/>
  <c r="J5" i="6"/>
  <c r="J4" i="6"/>
  <c r="K42" i="6"/>
  <c r="K41" i="6"/>
  <c r="K39" i="6"/>
  <c r="K38" i="6"/>
  <c r="K37" i="6"/>
  <c r="K36" i="6"/>
  <c r="K35" i="6"/>
  <c r="K34" i="6"/>
  <c r="K33" i="6"/>
  <c r="K32" i="6"/>
  <c r="K31" i="6"/>
  <c r="K30" i="6"/>
  <c r="E26" i="6"/>
  <c r="I38" i="6"/>
  <c r="I37" i="6"/>
  <c r="I36" i="6"/>
  <c r="I35" i="6"/>
  <c r="L35" i="6" s="1"/>
  <c r="I34" i="6"/>
  <c r="L34" i="6" s="1"/>
  <c r="I33" i="6"/>
  <c r="L33" i="6" s="1"/>
  <c r="I32" i="6"/>
  <c r="L32" i="6" s="1"/>
  <c r="I31" i="6"/>
  <c r="I30" i="6"/>
  <c r="H41" i="6" a="1"/>
  <c r="L41" i="6" s="1"/>
  <c r="H40" i="6" a="1"/>
  <c r="K40" i="6" s="1"/>
  <c r="L40" i="6" s="1"/>
  <c r="H39" i="6" a="1"/>
  <c r="H39" i="6" s="1"/>
  <c r="H38" i="6"/>
  <c r="L37" i="6"/>
  <c r="H37" i="6"/>
  <c r="J36" i="6"/>
  <c r="L36" i="6"/>
  <c r="H36" i="6"/>
  <c r="J35" i="6"/>
  <c r="H35" i="6"/>
  <c r="J34" i="6"/>
  <c r="H34" i="6"/>
  <c r="J33" i="6"/>
  <c r="H33" i="6"/>
  <c r="J32" i="6"/>
  <c r="H32" i="6"/>
  <c r="J31" i="6"/>
  <c r="H31" i="6"/>
  <c r="J30" i="6"/>
  <c r="H30" i="6"/>
  <c r="D26" i="6"/>
  <c r="C26" i="6"/>
  <c r="J8" i="6" s="1"/>
  <c r="F25" i="6"/>
  <c r="C37" i="5"/>
  <c r="D37" i="5" s="1"/>
  <c r="C26" i="5"/>
  <c r="C34" i="5" s="1"/>
  <c r="E26" i="11" l="1"/>
  <c r="E31" i="11" s="1"/>
  <c r="C34" i="11"/>
  <c r="C16" i="12"/>
  <c r="F16" i="12"/>
  <c r="D34" i="11"/>
  <c r="D16" i="12"/>
  <c r="G9" i="11"/>
  <c r="G29" i="11" s="1"/>
  <c r="G30" i="11" s="1"/>
  <c r="F15" i="12"/>
  <c r="D15" i="12"/>
  <c r="E26" i="8"/>
  <c r="D31" i="8"/>
  <c r="G9" i="8"/>
  <c r="G29" i="8" s="1"/>
  <c r="G30" i="8" s="1"/>
  <c r="G14" i="12"/>
  <c r="F14" i="12"/>
  <c r="E9" i="5"/>
  <c r="E29" i="5" s="1"/>
  <c r="F29" i="5"/>
  <c r="F30" i="5" s="1"/>
  <c r="G26" i="11"/>
  <c r="F31" i="11"/>
  <c r="F33" i="11" s="1"/>
  <c r="F35" i="11" s="1"/>
  <c r="F26" i="10"/>
  <c r="K7" i="10" s="1"/>
  <c r="E37" i="11"/>
  <c r="D29" i="11"/>
  <c r="D30" i="11" s="1"/>
  <c r="D31" i="11"/>
  <c r="K8" i="10"/>
  <c r="H41" i="10"/>
  <c r="K30" i="10"/>
  <c r="I42" i="10"/>
  <c r="H39" i="10"/>
  <c r="G3" i="10"/>
  <c r="H40" i="10"/>
  <c r="C30" i="5"/>
  <c r="G26" i="8"/>
  <c r="G15" i="12" s="1"/>
  <c r="F31" i="8"/>
  <c r="F33" i="8"/>
  <c r="F35" i="8" s="1"/>
  <c r="F37" i="8"/>
  <c r="C30" i="8"/>
  <c r="H30" i="8" s="1"/>
  <c r="H29" i="8"/>
  <c r="D33" i="8"/>
  <c r="D35" i="8" s="1"/>
  <c r="C31" i="8"/>
  <c r="N39" i="7"/>
  <c r="M41" i="7"/>
  <c r="N41" i="7" s="1"/>
  <c r="L42" i="7"/>
  <c r="I26" i="7"/>
  <c r="N31" i="7"/>
  <c r="F34" i="5"/>
  <c r="E30" i="5"/>
  <c r="J42" i="6"/>
  <c r="L30" i="6"/>
  <c r="F26" i="6"/>
  <c r="K7" i="6" s="1"/>
  <c r="L38" i="6"/>
  <c r="G26" i="6"/>
  <c r="I42" i="6"/>
  <c r="L39" i="6"/>
  <c r="H40" i="6"/>
  <c r="H41" i="6"/>
  <c r="L31" i="6"/>
  <c r="E37" i="5"/>
  <c r="E26" i="5"/>
  <c r="E14" i="12" s="1"/>
  <c r="G30" i="5"/>
  <c r="D26" i="5"/>
  <c r="D14" i="12" s="1"/>
  <c r="C31" i="5"/>
  <c r="F31" i="5"/>
  <c r="G31" i="5"/>
  <c r="K7" i="3"/>
  <c r="K6" i="3"/>
  <c r="K5" i="3"/>
  <c r="K4" i="3"/>
  <c r="J5" i="3"/>
  <c r="J4" i="3"/>
  <c r="E26" i="3"/>
  <c r="G26" i="4" s="1"/>
  <c r="G26" i="3"/>
  <c r="D37" i="4"/>
  <c r="G9" i="4"/>
  <c r="G29" i="4" s="1"/>
  <c r="C26" i="3"/>
  <c r="J8" i="3" s="1"/>
  <c r="E9" i="4"/>
  <c r="E29" i="4" s="1"/>
  <c r="C9" i="4"/>
  <c r="D26" i="4"/>
  <c r="D34" i="4" s="1"/>
  <c r="D26" i="3"/>
  <c r="K8" i="3"/>
  <c r="J7" i="3"/>
  <c r="J6" i="3"/>
  <c r="K37" i="3"/>
  <c r="L37" i="3" s="1"/>
  <c r="H41" i="3" a="1"/>
  <c r="H41" i="3" s="1"/>
  <c r="H40" i="3" a="1"/>
  <c r="H40" i="3" s="1"/>
  <c r="H39" i="3" a="1"/>
  <c r="H39" i="3" s="1"/>
  <c r="I38" i="3"/>
  <c r="K38" i="3" s="1"/>
  <c r="L38" i="3" s="1"/>
  <c r="H38" i="3"/>
  <c r="I37" i="3"/>
  <c r="H37" i="3"/>
  <c r="F26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3" i="3"/>
  <c r="J36" i="3"/>
  <c r="J35" i="3"/>
  <c r="J34" i="3"/>
  <c r="J33" i="3"/>
  <c r="J32" i="3"/>
  <c r="J31" i="3"/>
  <c r="J30" i="3"/>
  <c r="I36" i="3"/>
  <c r="K36" i="3" s="1"/>
  <c r="L36" i="3" s="1"/>
  <c r="H36" i="3"/>
  <c r="I35" i="3"/>
  <c r="K35" i="3" s="1"/>
  <c r="L35" i="3" s="1"/>
  <c r="H35" i="3"/>
  <c r="I34" i="3"/>
  <c r="K34" i="3" s="1"/>
  <c r="L34" i="3" s="1"/>
  <c r="H34" i="3"/>
  <c r="I33" i="3"/>
  <c r="K33" i="3" s="1"/>
  <c r="L33" i="3" s="1"/>
  <c r="H33" i="3"/>
  <c r="I32" i="3"/>
  <c r="K32" i="3" s="1"/>
  <c r="L32" i="3" s="1"/>
  <c r="H32" i="3"/>
  <c r="I31" i="3"/>
  <c r="K31" i="3" s="1"/>
  <c r="L31" i="3" s="1"/>
  <c r="H31" i="3"/>
  <c r="I30" i="3"/>
  <c r="K30" i="3" s="1"/>
  <c r="H30" i="3"/>
  <c r="E16" i="12" l="1"/>
  <c r="E34" i="11"/>
  <c r="E33" i="11" s="1"/>
  <c r="E35" i="11" s="1"/>
  <c r="E37" i="4"/>
  <c r="F37" i="4" s="1"/>
  <c r="C33" i="11"/>
  <c r="C35" i="11" s="1"/>
  <c r="C39" i="11" s="1"/>
  <c r="C30" i="12" s="1"/>
  <c r="F22" i="12"/>
  <c r="G34" i="11"/>
  <c r="G16" i="12"/>
  <c r="E31" i="8"/>
  <c r="E34" i="8"/>
  <c r="E15" i="12"/>
  <c r="D39" i="8"/>
  <c r="D21" i="12"/>
  <c r="F39" i="8"/>
  <c r="F21" i="12"/>
  <c r="C13" i="12"/>
  <c r="D31" i="4"/>
  <c r="G34" i="4"/>
  <c r="F13" i="12"/>
  <c r="G31" i="11"/>
  <c r="F37" i="11"/>
  <c r="F39" i="11" s="1"/>
  <c r="F30" i="12" s="1"/>
  <c r="D33" i="11"/>
  <c r="D35" i="11" s="1"/>
  <c r="K42" i="10"/>
  <c r="L30" i="10"/>
  <c r="L42" i="10" s="1"/>
  <c r="K4" i="10"/>
  <c r="G31" i="8"/>
  <c r="G34" i="8"/>
  <c r="H34" i="8" s="1"/>
  <c r="G37" i="8"/>
  <c r="C33" i="8"/>
  <c r="C35" i="8" s="1"/>
  <c r="M8" i="7"/>
  <c r="M7" i="7"/>
  <c r="M42" i="7"/>
  <c r="N42" i="7"/>
  <c r="F33" i="5"/>
  <c r="F35" i="5" s="1"/>
  <c r="G33" i="5"/>
  <c r="G35" i="5" s="1"/>
  <c r="K8" i="6"/>
  <c r="K6" i="6"/>
  <c r="K4" i="6"/>
  <c r="L42" i="6"/>
  <c r="D34" i="5"/>
  <c r="D31" i="5"/>
  <c r="E34" i="5"/>
  <c r="E31" i="5"/>
  <c r="F37" i="5"/>
  <c r="D30" i="5"/>
  <c r="H30" i="5" s="1"/>
  <c r="H29" i="5"/>
  <c r="C33" i="5"/>
  <c r="C35" i="5" s="1"/>
  <c r="G30" i="4"/>
  <c r="D9" i="4"/>
  <c r="D29" i="4" s="1"/>
  <c r="F26" i="4"/>
  <c r="F9" i="4"/>
  <c r="F29" i="4" s="1"/>
  <c r="H26" i="4"/>
  <c r="G31" i="4"/>
  <c r="E26" i="4"/>
  <c r="H9" i="4"/>
  <c r="H29" i="4" s="1"/>
  <c r="J42" i="3"/>
  <c r="K41" i="3"/>
  <c r="L41" i="3" s="1"/>
  <c r="I42" i="3"/>
  <c r="K40" i="3"/>
  <c r="L40" i="3" s="1"/>
  <c r="K39" i="3"/>
  <c r="L39" i="3" s="1"/>
  <c r="K42" i="3"/>
  <c r="L30" i="3"/>
  <c r="L42" i="3" s="1"/>
  <c r="G37" i="4" l="1"/>
  <c r="H37" i="4" s="1"/>
  <c r="I37" i="4"/>
  <c r="D30" i="4"/>
  <c r="I29" i="4"/>
  <c r="C22" i="12"/>
  <c r="E22" i="12"/>
  <c r="E39" i="11"/>
  <c r="E30" i="12" s="1"/>
  <c r="G33" i="11"/>
  <c r="G35" i="11" s="1"/>
  <c r="D22" i="12"/>
  <c r="D39" i="11"/>
  <c r="D30" i="12" s="1"/>
  <c r="E33" i="8"/>
  <c r="E35" i="8" s="1"/>
  <c r="C21" i="12"/>
  <c r="C39" i="8"/>
  <c r="F39" i="5"/>
  <c r="F20" i="12"/>
  <c r="C39" i="5"/>
  <c r="C20" i="12"/>
  <c r="H31" i="5"/>
  <c r="G20" i="12"/>
  <c r="E34" i="4"/>
  <c r="D13" i="12"/>
  <c r="H34" i="4"/>
  <c r="G13" i="12"/>
  <c r="F34" i="4"/>
  <c r="E13" i="12"/>
  <c r="G37" i="11"/>
  <c r="K5" i="10"/>
  <c r="K6" i="10"/>
  <c r="G33" i="8"/>
  <c r="G35" i="8" s="1"/>
  <c r="H31" i="8"/>
  <c r="H33" i="8" s="1"/>
  <c r="H35" i="8" s="1"/>
  <c r="H37" i="8"/>
  <c r="K5" i="6"/>
  <c r="D33" i="5"/>
  <c r="D35" i="5" s="1"/>
  <c r="H34" i="5"/>
  <c r="G37" i="5"/>
  <c r="H37" i="5" s="1"/>
  <c r="H33" i="5"/>
  <c r="E33" i="5"/>
  <c r="E35" i="5" s="1"/>
  <c r="G33" i="4"/>
  <c r="G35" i="4" s="1"/>
  <c r="E30" i="4"/>
  <c r="F30" i="4"/>
  <c r="H31" i="4"/>
  <c r="F31" i="4"/>
  <c r="E31" i="4"/>
  <c r="H30" i="4"/>
  <c r="R12" i="1"/>
  <c r="R6" i="1"/>
  <c r="R7" i="1"/>
  <c r="R8" i="1"/>
  <c r="R9" i="1"/>
  <c r="R10" i="1"/>
  <c r="R11" i="1"/>
  <c r="R5" i="1"/>
  <c r="Q6" i="1"/>
  <c r="Q7" i="1"/>
  <c r="Q8" i="1"/>
  <c r="Q9" i="1"/>
  <c r="Q10" i="1"/>
  <c r="Q11" i="1"/>
  <c r="Q12" i="1"/>
  <c r="Q5" i="1"/>
  <c r="P12" i="1"/>
  <c r="I34" i="4" l="1"/>
  <c r="I31" i="4"/>
  <c r="I30" i="4"/>
  <c r="D33" i="4"/>
  <c r="D35" i="4" s="1"/>
  <c r="D39" i="4" s="1"/>
  <c r="C27" i="12" s="1"/>
  <c r="G39" i="4"/>
  <c r="F27" i="12" s="1"/>
  <c r="G22" i="12"/>
  <c r="G39" i="11"/>
  <c r="G30" i="12" s="1"/>
  <c r="E21" i="12"/>
  <c r="E39" i="8"/>
  <c r="H39" i="8"/>
  <c r="G39" i="8"/>
  <c r="G21" i="12"/>
  <c r="G39" i="5"/>
  <c r="E39" i="5"/>
  <c r="E20" i="12"/>
  <c r="D39" i="5"/>
  <c r="D20" i="12"/>
  <c r="F19" i="12"/>
  <c r="H35" i="5"/>
  <c r="H39" i="5" s="1"/>
  <c r="F33" i="4"/>
  <c r="E33" i="4"/>
  <c r="E35" i="4" s="1"/>
  <c r="E39" i="4" s="1"/>
  <c r="D27" i="12" s="1"/>
  <c r="H33" i="4"/>
  <c r="H35" i="4" s="1"/>
  <c r="H39" i="4" s="1"/>
  <c r="G27" i="12" s="1"/>
  <c r="I33" i="4" l="1"/>
  <c r="I35" i="4" s="1"/>
  <c r="I39" i="4" s="1"/>
  <c r="C19" i="12"/>
  <c r="C36" i="12" s="1"/>
  <c r="D19" i="12"/>
  <c r="G19" i="12"/>
  <c r="F35" i="4"/>
  <c r="F39" i="4" s="1"/>
  <c r="E27" i="12" s="1"/>
  <c r="E19" i="1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<sst xmlns="http://schemas.openxmlformats.org/spreadsheetml/2006/main" count="335" uniqueCount="95">
  <si>
    <t>Proyección Anual Gasto Administrativo</t>
  </si>
  <si>
    <t>Gasto Administrativo</t>
  </si>
  <si>
    <t xml:space="preserve"> </t>
  </si>
  <si>
    <t>Proyección de Gasto 2021</t>
  </si>
  <si>
    <t>Proyección de Gasto 2022</t>
  </si>
  <si>
    <t>Proyección de Gasto 2023</t>
  </si>
  <si>
    <t xml:space="preserve">Ingreso por afiliación </t>
  </si>
  <si>
    <t xml:space="preserve">Saldos de CARTERA </t>
  </si>
  <si>
    <t>COOPEALIANZA</t>
  </si>
  <si>
    <t>COOPEBANPO</t>
  </si>
  <si>
    <t>COOPECAJA</t>
  </si>
  <si>
    <t>COOPECAR</t>
  </si>
  <si>
    <t>COOPEMEDICOS</t>
  </si>
  <si>
    <t>COOPENAE</t>
  </si>
  <si>
    <t>CREDECOOP</t>
  </si>
  <si>
    <t>Ingresos Financieros</t>
  </si>
  <si>
    <t>Total Ingresos Financieros</t>
  </si>
  <si>
    <t>% Afiliación</t>
  </si>
  <si>
    <t>TOTAL</t>
  </si>
  <si>
    <t>Monto Cartera a Diciembre 2019</t>
  </si>
  <si>
    <t>Cuota anual</t>
  </si>
  <si>
    <t>Cuota mensual</t>
  </si>
  <si>
    <t>Variables a considerar:</t>
  </si>
  <si>
    <t>COOCIQUE</t>
  </si>
  <si>
    <t>COOPAVEGRA</t>
  </si>
  <si>
    <t>COOPEAYA</t>
  </si>
  <si>
    <t xml:space="preserve">Variable de afiliación </t>
  </si>
  <si>
    <t>SERVICOOP</t>
  </si>
  <si>
    <t>(Tasa a un año plazo con CDP en Cooperativas)</t>
  </si>
  <si>
    <t>Resultado</t>
  </si>
  <si>
    <t xml:space="preserve">Tasa neta de inversión ponderada </t>
  </si>
  <si>
    <t>Capital social aportado FGA</t>
  </si>
  <si>
    <t>Monto cartera captaciones</t>
  </si>
  <si>
    <t>Cartera Captaciones a Enero 2020</t>
  </si>
  <si>
    <t xml:space="preserve">COOPEAMISTAD </t>
  </si>
  <si>
    <t xml:space="preserve">COOPESERVIDORES </t>
  </si>
  <si>
    <t xml:space="preserve">COOPEUNA </t>
  </si>
  <si>
    <t xml:space="preserve">CREDECOOP </t>
  </si>
  <si>
    <t xml:space="preserve">COOPEANDE Nº 1 </t>
  </si>
  <si>
    <t xml:space="preserve">COOPEBANPO </t>
  </si>
  <si>
    <t xml:space="preserve">COOPECAR </t>
  </si>
  <si>
    <t xml:space="preserve">COOPEGRECIA </t>
  </si>
  <si>
    <t xml:space="preserve">COOPEJUDICIAL </t>
  </si>
  <si>
    <t xml:space="preserve">COOPEALIANZA </t>
  </si>
  <si>
    <t xml:space="preserve">COOPECAJA </t>
  </si>
  <si>
    <t xml:space="preserve">COOPEFYL </t>
  </si>
  <si>
    <t>COOPELECHEROS -</t>
  </si>
  <si>
    <t xml:space="preserve">COOPEMEDICOS </t>
  </si>
  <si>
    <t xml:space="preserve">COOPEMEP </t>
  </si>
  <si>
    <t xml:space="preserve">COOPENAE </t>
  </si>
  <si>
    <t xml:space="preserve">COOPESANMARCOS </t>
  </si>
  <si>
    <t xml:space="preserve">COOPESANRAMON </t>
  </si>
  <si>
    <t>COOPEASAMBLEA</t>
  </si>
  <si>
    <t>TOTALES</t>
  </si>
  <si>
    <t>Tasa crecimiento cartera captaciones</t>
  </si>
  <si>
    <t>Ingreso intereses por afiliación</t>
  </si>
  <si>
    <t>Ingreso intereses por capital</t>
  </si>
  <si>
    <t>Tasa neta ponderada 6 meses</t>
  </si>
  <si>
    <t>Monto cartera</t>
  </si>
  <si>
    <t>Monto afiliación</t>
  </si>
  <si>
    <t>Resumen:</t>
  </si>
  <si>
    <t>Periodo:</t>
  </si>
  <si>
    <t>CAC AFILIADAS 2020-2022</t>
  </si>
  <si>
    <t>Gasto proyectado presupuesto 2020:</t>
  </si>
  <si>
    <t>Proyección de Gasto 2023-2024</t>
  </si>
  <si>
    <t>Capital social por aportar FGA</t>
  </si>
  <si>
    <t>Activo Productivo FGA</t>
  </si>
  <si>
    <t>TOTAL CAC´S</t>
  </si>
  <si>
    <t>(Tasa a 6 meses plazo con CDP en Cooperativas)</t>
  </si>
  <si>
    <t>Contingencia de liquidez (Dividendos)</t>
  </si>
  <si>
    <t>(Estimación de liquidez)</t>
  </si>
  <si>
    <t>Resultado financiero bruto</t>
  </si>
  <si>
    <t>Monto cartera crédito</t>
  </si>
  <si>
    <t>Cartera de Crédito a Enero 2020</t>
  </si>
  <si>
    <t>Tasa crecimiento cartera crédito</t>
  </si>
  <si>
    <t>Inversiones en instrumentos financieros</t>
  </si>
  <si>
    <t>Total Activo Productivo</t>
  </si>
  <si>
    <t>Activo Productivo a Enero 2020</t>
  </si>
  <si>
    <t>Monto Activo Productivo</t>
  </si>
  <si>
    <t>Saldos de CARTERA CAPTACION</t>
  </si>
  <si>
    <t>Saldos de CARTERA CREDITO</t>
  </si>
  <si>
    <t>Activo Total a Enero 2020</t>
  </si>
  <si>
    <t>Monto activo total</t>
  </si>
  <si>
    <t>Saldos de ACTIVO TOTAL</t>
  </si>
  <si>
    <t>Tasa crecimiento Activo Total</t>
  </si>
  <si>
    <t>Tasa crecimiento activo productivo</t>
  </si>
  <si>
    <t>Captaciones</t>
  </si>
  <si>
    <t>Cartera de Crédito</t>
  </si>
  <si>
    <t>Activo Productivo</t>
  </si>
  <si>
    <t>Activo Total</t>
  </si>
  <si>
    <t>Total Ingresos Financieros Brutos</t>
  </si>
  <si>
    <t>ACUMULADO</t>
  </si>
  <si>
    <t>ACTIVO TOTAL</t>
  </si>
  <si>
    <t>CAPITAL APORTADO</t>
  </si>
  <si>
    <t>APORTE 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</si>
</sst>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0.000%"/>
    <numFmt numFmtId="165" formatCode="_-* #,##0_-;\-* #,##0_-;_-* &quot;-&quot;??_-;_-@_-"/>
    <numFmt numFmtId="166" formatCode="_-[$₡-140A]* #,##0.00_-;\-[$₡-140A]* #,##0.00_-;_-[$₡-140A]* &quot;-&quot;??_-;_-@_-"/>
    <numFmt numFmtId="167" formatCode="_-[$₡-140A]* #,##0_-;\-[$₡-140A]* #,##0_-;_-[$₡-140A]* &quot;-&quot;??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1"/>
      <name val="Lao UI"/>
      <family val="2"/>
    </font>
    <font>
      <b/>
      <sz val="10"/>
      <color theme="1"/>
      <name val="Lao UI"/>
      <family val="2"/>
    </font>
    <font>
      <b/>
      <sz val="9"/>
      <color theme="0"/>
      <name val="Lao UI"/>
      <family val="2"/>
    </font>
    <font>
      <sz val="8"/>
      <color theme="1"/>
      <name val="Lao UI"/>
      <family val="2"/>
    </font>
    <font>
      <b/>
      <sz val="8"/>
      <color theme="0"/>
      <name val="Lao UI"/>
      <family val="2"/>
    </font>
    <font>
      <b/>
      <sz val="8"/>
      <color theme="1"/>
      <name val="Lao UI"/>
      <family val="2"/>
    </font>
    <font>
      <b/>
      <sz val="11"/>
      <color theme="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8C4483"/>
      <name val="Calibri"/>
      <family val="2"/>
      <scheme val="minor"/>
    </font>
    <font>
      <b/>
      <sz val="10"/>
      <name val="Lao U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0"/>
      <name val="Lao UI"/>
      <family val="2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rgb="FF2F5597"/>
        <bgColor indexed="64"/>
      </patternFill>
    </fill>
    <fill>
      <patternFill patternType="solid">
        <fgColor rgb="FFFFC3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8C448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</cellStyleXfs>
  <cellXfs count="96">
    <xf numFmtId="0" fontId="0" fillId="0" borderId="0" xfId="0"/>
    <xf numFmtId="0" fontId="3" fillId="3" borderId="0" xfId="0" applyFont="1" applyFill="1"/>
    <xf numFmtId="0" fontId="4" fillId="3" borderId="0" xfId="0" applyFont="1" applyFill="1"/>
    <xf numFmtId="0" fontId="6" fillId="3" borderId="0" xfId="0" applyFont="1" applyFill="1"/>
    <xf numFmtId="0" fontId="8" fillId="3" borderId="0" xfId="0" applyFont="1" applyFill="1"/>
    <xf numFmtId="9" fontId="6" fillId="3" borderId="0" xfId="2" applyFont="1" applyFill="1" applyAlignment="1">
      <alignment horizontal="right"/>
    </xf>
    <xf numFmtId="164" fontId="6" fillId="3" borderId="0" xfId="0" applyNumberFormat="1" applyFont="1" applyFill="1"/>
    <xf numFmtId="43" fontId="6" fillId="0" borderId="1" xfId="1" applyFont="1" applyFill="1" applyBorder="1" applyAlignment="1">
      <alignment horizontal="center"/>
    </xf>
    <xf numFmtId="0" fontId="6" fillId="0" borderId="1" xfId="0" applyFont="1" applyFill="1" applyBorder="1"/>
    <xf numFmtId="0" fontId="6" fillId="0" borderId="2" xfId="0" applyFont="1" applyFill="1" applyBorder="1"/>
    <xf numFmtId="43" fontId="6" fillId="0" borderId="2" xfId="1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6" fillId="0" borderId="6" xfId="0" applyFont="1" applyFill="1" applyBorder="1"/>
    <xf numFmtId="43" fontId="6" fillId="0" borderId="6" xfId="1" applyFont="1" applyFill="1" applyBorder="1" applyAlignment="1">
      <alignment horizontal="center"/>
    </xf>
    <xf numFmtId="10" fontId="7" fillId="4" borderId="5" xfId="0" applyNumberFormat="1" applyFont="1" applyFill="1" applyBorder="1" applyAlignment="1">
      <alignment horizontal="center" vertical="center"/>
    </xf>
    <xf numFmtId="10" fontId="7" fillId="4" borderId="4" xfId="0" applyNumberFormat="1" applyFont="1" applyFill="1" applyBorder="1" applyAlignment="1">
      <alignment horizontal="center" vertical="center"/>
    </xf>
    <xf numFmtId="43" fontId="6" fillId="0" borderId="7" xfId="1" applyFont="1" applyFill="1" applyBorder="1" applyAlignment="1">
      <alignment horizontal="center"/>
    </xf>
    <xf numFmtId="166" fontId="8" fillId="3" borderId="5" xfId="0" applyNumberFormat="1" applyFont="1" applyFill="1" applyBorder="1"/>
    <xf numFmtId="166" fontId="8" fillId="3" borderId="5" xfId="1" applyNumberFormat="1" applyFont="1" applyFill="1" applyBorder="1"/>
    <xf numFmtId="166" fontId="8" fillId="3" borderId="4" xfId="1" applyNumberFormat="1" applyFont="1" applyFill="1" applyBorder="1"/>
    <xf numFmtId="0" fontId="4" fillId="3" borderId="0" xfId="0" applyFont="1" applyFill="1" applyAlignment="1">
      <alignment horizontal="center"/>
    </xf>
    <xf numFmtId="165" fontId="3" fillId="3" borderId="0" xfId="0" applyNumberFormat="1" applyFont="1" applyFill="1"/>
    <xf numFmtId="0" fontId="3" fillId="0" borderId="0" xfId="0" applyFont="1"/>
    <xf numFmtId="165" fontId="3" fillId="3" borderId="0" xfId="1" applyNumberFormat="1" applyFont="1" applyFill="1"/>
    <xf numFmtId="9" fontId="3" fillId="5" borderId="0" xfId="2" applyFont="1" applyFill="1" applyAlignment="1">
      <alignment horizontal="center"/>
    </xf>
    <xf numFmtId="9" fontId="3" fillId="3" borderId="0" xfId="0" applyNumberFormat="1" applyFont="1" applyFill="1" applyAlignment="1">
      <alignment horizontal="center"/>
    </xf>
    <xf numFmtId="167" fontId="3" fillId="3" borderId="0" xfId="0" applyNumberFormat="1" applyFont="1" applyFill="1"/>
    <xf numFmtId="0" fontId="5" fillId="4" borderId="5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vertical="center"/>
    </xf>
    <xf numFmtId="0" fontId="5" fillId="4" borderId="5" xfId="0" applyFont="1" applyFill="1" applyBorder="1" applyAlignment="1">
      <alignment vertical="center"/>
    </xf>
    <xf numFmtId="0" fontId="0" fillId="3" borderId="0" xfId="0" applyFill="1"/>
    <xf numFmtId="0" fontId="9" fillId="3" borderId="0" xfId="0" applyFont="1" applyFill="1"/>
    <xf numFmtId="0" fontId="10" fillId="3" borderId="0" xfId="0" applyFont="1" applyFill="1" applyAlignment="1">
      <alignment horizontal="center"/>
    </xf>
    <xf numFmtId="43" fontId="0" fillId="3" borderId="0" xfId="1" applyFont="1" applyFill="1"/>
    <xf numFmtId="164" fontId="0" fillId="3" borderId="0" xfId="0" applyNumberFormat="1" applyFill="1" applyAlignment="1">
      <alignment horizontal="center"/>
    </xf>
    <xf numFmtId="0" fontId="12" fillId="3" borderId="0" xfId="0" applyFont="1" applyFill="1"/>
    <xf numFmtId="165" fontId="0" fillId="3" borderId="0" xfId="1" applyNumberFormat="1" applyFont="1" applyFill="1"/>
    <xf numFmtId="0" fontId="0" fillId="3" borderId="11" xfId="0" applyFill="1" applyBorder="1"/>
    <xf numFmtId="165" fontId="0" fillId="3" borderId="0" xfId="0" applyNumberFormat="1" applyFill="1" applyBorder="1"/>
    <xf numFmtId="165" fontId="0" fillId="3" borderId="0" xfId="1" applyNumberFormat="1" applyFont="1" applyFill="1" applyBorder="1"/>
    <xf numFmtId="165" fontId="0" fillId="3" borderId="12" xfId="1" applyNumberFormat="1" applyFont="1" applyFill="1" applyBorder="1"/>
    <xf numFmtId="0" fontId="9" fillId="3" borderId="3" xfId="0" applyFont="1" applyFill="1" applyBorder="1" applyAlignment="1">
      <alignment horizontal="center"/>
    </xf>
    <xf numFmtId="167" fontId="9" fillId="3" borderId="5" xfId="0" applyNumberFormat="1" applyFont="1" applyFill="1" applyBorder="1"/>
    <xf numFmtId="167" fontId="9" fillId="3" borderId="4" xfId="0" applyNumberFormat="1" applyFont="1" applyFill="1" applyBorder="1"/>
    <xf numFmtId="0" fontId="0" fillId="3" borderId="16" xfId="0" applyFill="1" applyBorder="1"/>
    <xf numFmtId="165" fontId="4" fillId="3" borderId="0" xfId="1" applyNumberFormat="1" applyFont="1" applyFill="1" applyAlignment="1">
      <alignment horizontal="center"/>
    </xf>
    <xf numFmtId="167" fontId="0" fillId="3" borderId="0" xfId="0" applyNumberFormat="1" applyFill="1" applyBorder="1"/>
    <xf numFmtId="0" fontId="11" fillId="4" borderId="3" xfId="0" applyFont="1" applyFill="1" applyBorder="1"/>
    <xf numFmtId="0" fontId="9" fillId="3" borderId="6" xfId="0" applyFont="1" applyFill="1" applyBorder="1"/>
    <xf numFmtId="0" fontId="9" fillId="3" borderId="6" xfId="0" applyFont="1" applyFill="1" applyBorder="1" applyAlignment="1">
      <alignment horizontal="center"/>
    </xf>
    <xf numFmtId="0" fontId="11" fillId="4" borderId="5" xfId="0" applyFont="1" applyFill="1" applyBorder="1"/>
    <xf numFmtId="0" fontId="11" fillId="4" borderId="4" xfId="0" applyFont="1" applyFill="1" applyBorder="1"/>
    <xf numFmtId="167" fontId="0" fillId="6" borderId="0" xfId="0" applyNumberFormat="1" applyFill="1" applyBorder="1"/>
    <xf numFmtId="165" fontId="13" fillId="3" borderId="0" xfId="1" applyNumberFormat="1" applyFont="1" applyFill="1"/>
    <xf numFmtId="165" fontId="4" fillId="3" borderId="0" xfId="0" applyNumberFormat="1" applyFont="1" applyFill="1" applyAlignment="1">
      <alignment horizontal="center"/>
    </xf>
    <xf numFmtId="164" fontId="14" fillId="5" borderId="0" xfId="3" applyNumberFormat="1" applyFont="1" applyFill="1" applyAlignment="1">
      <alignment horizontal="center"/>
    </xf>
    <xf numFmtId="10" fontId="14" fillId="5" borderId="0" xfId="3" applyNumberFormat="1" applyFont="1" applyFill="1" applyAlignment="1">
      <alignment horizontal="center"/>
    </xf>
    <xf numFmtId="167" fontId="4" fillId="3" borderId="0" xfId="1" applyNumberFormat="1" applyFont="1" applyFill="1"/>
    <xf numFmtId="165" fontId="15" fillId="3" borderId="0" xfId="1" applyNumberFormat="1" applyFont="1" applyFill="1"/>
    <xf numFmtId="167" fontId="16" fillId="3" borderId="5" xfId="0" applyNumberFormat="1" applyFont="1" applyFill="1" applyBorder="1"/>
    <xf numFmtId="0" fontId="0" fillId="6" borderId="8" xfId="0" applyFill="1" applyBorder="1" applyAlignment="1">
      <alignment horizontal="left"/>
    </xf>
    <xf numFmtId="167" fontId="0" fillId="6" borderId="9" xfId="0" applyNumberFormat="1" applyFill="1" applyBorder="1"/>
    <xf numFmtId="165" fontId="0" fillId="6" borderId="10" xfId="0" applyNumberFormat="1" applyFill="1" applyBorder="1"/>
    <xf numFmtId="0" fontId="0" fillId="3" borderId="11" xfId="0" applyFill="1" applyBorder="1" applyAlignment="1">
      <alignment horizontal="left"/>
    </xf>
    <xf numFmtId="167" fontId="0" fillId="3" borderId="12" xfId="0" applyNumberFormat="1" applyFill="1" applyBorder="1"/>
    <xf numFmtId="0" fontId="0" fillId="6" borderId="11" xfId="0" applyFill="1" applyBorder="1" applyAlignment="1">
      <alignment horizontal="left"/>
    </xf>
    <xf numFmtId="167" fontId="0" fillId="6" borderId="12" xfId="0" applyNumberFormat="1" applyFill="1" applyBorder="1"/>
    <xf numFmtId="0" fontId="0" fillId="6" borderId="13" xfId="0" applyFill="1" applyBorder="1" applyAlignment="1">
      <alignment horizontal="left"/>
    </xf>
    <xf numFmtId="167" fontId="0" fillId="6" borderId="14" xfId="0" applyNumberFormat="1" applyFill="1" applyBorder="1"/>
    <xf numFmtId="167" fontId="0" fillId="6" borderId="15" xfId="0" applyNumberFormat="1" applyFill="1" applyBorder="1"/>
    <xf numFmtId="0" fontId="5" fillId="4" borderId="5" xfId="0" applyFont="1" applyFill="1" applyBorder="1" applyAlignment="1">
      <alignment horizontal="center" vertical="center"/>
    </xf>
    <xf numFmtId="165" fontId="4" fillId="3" borderId="0" xfId="0" applyNumberFormat="1" applyFont="1" applyFill="1"/>
    <xf numFmtId="43" fontId="4" fillId="3" borderId="0" xfId="1" applyFont="1" applyFill="1"/>
    <xf numFmtId="167" fontId="4" fillId="3" borderId="0" xfId="0" applyNumberFormat="1" applyFont="1" applyFill="1"/>
    <xf numFmtId="0" fontId="4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10" fontId="4" fillId="3" borderId="0" xfId="0" applyNumberFormat="1" applyFont="1" applyFill="1"/>
    <xf numFmtId="43" fontId="3" fillId="3" borderId="0" xfId="1" applyFont="1" applyFill="1"/>
    <xf numFmtId="167" fontId="3" fillId="3" borderId="0" xfId="1" applyNumberFormat="1" applyFont="1" applyFill="1"/>
    <xf numFmtId="165" fontId="0" fillId="3" borderId="0" xfId="1" applyNumberFormat="1" applyFont="1" applyFill="1" applyAlignment="1">
      <alignment horizontal="left"/>
    </xf>
    <xf numFmtId="0" fontId="17" fillId="3" borderId="0" xfId="0" applyFont="1" applyFill="1" applyAlignment="1">
      <alignment horizontal="left"/>
    </xf>
    <xf numFmtId="0" fontId="5" fillId="4" borderId="5" xfId="0" applyFont="1" applyFill="1" applyBorder="1" applyAlignment="1">
      <alignment horizontal="center" vertical="center" wrapText="1"/>
    </xf>
    <xf numFmtId="165" fontId="9" fillId="3" borderId="5" xfId="0" applyNumberFormat="1" applyFont="1" applyFill="1" applyBorder="1" applyAlignment="1">
      <alignment horizontal="center"/>
    </xf>
    <xf numFmtId="0" fontId="0" fillId="7" borderId="0" xfId="0" applyFill="1"/>
    <xf numFmtId="165" fontId="0" fillId="7" borderId="0" xfId="1" applyNumberFormat="1" applyFont="1" applyFill="1"/>
    <xf numFmtId="165" fontId="15" fillId="7" borderId="0" xfId="1" applyNumberFormat="1" applyFont="1" applyFill="1"/>
    <xf numFmtId="0" fontId="19" fillId="3" borderId="0" xfId="0" applyFont="1" applyFill="1"/>
    <xf numFmtId="165" fontId="19" fillId="3" borderId="0" xfId="1" applyNumberFormat="1" applyFont="1" applyFill="1" applyAlignment="1">
      <alignment horizontal="left"/>
    </xf>
    <xf numFmtId="165" fontId="19" fillId="3" borderId="0" xfId="1" applyNumberFormat="1" applyFont="1" applyFill="1"/>
    <xf numFmtId="164" fontId="18" fillId="3" borderId="0" xfId="0" applyNumberFormat="1" applyFont="1" applyFill="1" applyAlignment="1">
      <alignment horizontal="center"/>
    </xf>
    <xf numFmtId="0" fontId="5" fillId="4" borderId="3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20" fillId="8" borderId="3" xfId="0" applyFont="1" applyFill="1" applyBorder="1" applyAlignment="1">
      <alignment horizontal="center" vertical="center"/>
    </xf>
    <xf numFmtId="0" fontId="20" fillId="8" borderId="5" xfId="0" applyFont="1" applyFill="1" applyBorder="1" applyAlignment="1">
      <alignment horizontal="center" vertical="center"/>
    </xf>
    <xf numFmtId="0" fontId="20" fillId="8" borderId="5" xfId="0" applyFont="1" applyFill="1" applyBorder="1" applyAlignment="1">
      <alignment horizontal="center" vertical="center" wrapText="1"/>
    </xf>
    <xf numFmtId="10" fontId="20" fillId="8" borderId="4" xfId="0" applyNumberFormat="1" applyFont="1" applyFill="1" applyBorder="1" applyAlignment="1">
      <alignment horizontal="center" vertical="center"/>
    </xf>
  </cellXfs>
  <cellStyles count="4">
    <cellStyle name="Bueno" xfId="3" builtinId="26"/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8C4483"/>
      <color rgb="FF2F5597"/>
      <color rgb="FFFFC300"/>
      <color rgb="FF7F7F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19050</xdr:rowOff>
    </xdr:from>
    <xdr:to>
      <xdr:col>2</xdr:col>
      <xdr:colOff>28575</xdr:colOff>
      <xdr:row>6</xdr:row>
      <xdr:rowOff>74125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B95878D-457F-4C7B-9740-C14D07C60F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6" y="19050"/>
          <a:ext cx="1352549" cy="9313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121920</xdr:colOff>
      <xdr:row>0</xdr:row>
      <xdr:rowOff>38100</xdr:rowOff>
    </xdr:from>
    <xdr:to>
      <xdr:col>0</xdr:col>
      <xdr:colOff>1489709</xdr:colOff>
      <xdr:row>5</xdr:row>
      <xdr:rowOff>104605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3400523-7979-4364-A025-BCD0C9C36E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920" y="38100"/>
          <a:ext cx="1367789" cy="97138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121920</xdr:colOff>
      <xdr:row>0</xdr:row>
      <xdr:rowOff>38100</xdr:rowOff>
    </xdr:from>
    <xdr:to>
      <xdr:col>1</xdr:col>
      <xdr:colOff>1489709</xdr:colOff>
      <xdr:row>5</xdr:row>
      <xdr:rowOff>104605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6199098-48B7-422F-914E-C15D269F9E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2970" y="38100"/>
          <a:ext cx="1367789" cy="92375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121920</xdr:colOff>
      <xdr:row>0</xdr:row>
      <xdr:rowOff>38100</xdr:rowOff>
    </xdr:from>
    <xdr:to>
      <xdr:col>0</xdr:col>
      <xdr:colOff>1489709</xdr:colOff>
      <xdr:row>5</xdr:row>
      <xdr:rowOff>104605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9A71C88-AF36-448A-BC65-A1A9CBD7B2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920" y="38100"/>
          <a:ext cx="1367789" cy="97138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121920</xdr:colOff>
      <xdr:row>0</xdr:row>
      <xdr:rowOff>38100</xdr:rowOff>
    </xdr:from>
    <xdr:to>
      <xdr:col>0</xdr:col>
      <xdr:colOff>1489709</xdr:colOff>
      <xdr:row>5</xdr:row>
      <xdr:rowOff>104605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18FD4E6-5CF0-4BB3-876D-31FD945517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920" y="38100"/>
          <a:ext cx="1367789" cy="97138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121920</xdr:colOff>
      <xdr:row>0</xdr:row>
      <xdr:rowOff>38100</xdr:rowOff>
    </xdr:from>
    <xdr:to>
      <xdr:col>0</xdr:col>
      <xdr:colOff>1489709</xdr:colOff>
      <xdr:row>5</xdr:row>
      <xdr:rowOff>104605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F39DDB5-6407-43CF-B036-B3A5843805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920" y="38100"/>
          <a:ext cx="1367789" cy="9713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319E0A-538A-48E1-A8F6-34960CB34E14}">
  <dimension ref="A1:S12"/>
  <sheetViews>
    <sheetView topLeftCell="O1" workbookViewId="0">
      <selection activeCell="O1" sqref="O1:S12"/>
    </sheetView>
  </sheetViews>
  <sheetFormatPr baseColWidth="10" defaultColWidth="11.453125" defaultRowHeight="11.5" x14ac:dyDescent="0.3"/>
  <cols>
    <col min="1" max="2" width="11.453125" style="3"/>
    <col min="3" max="3" width="11.54296875" style="3" bestFit="1" customWidth="1"/>
    <col min="4" max="14" width="11.453125" style="3"/>
    <col min="15" max="15" width="18" style="3" bestFit="1" customWidth="1"/>
    <col min="16" max="16" width="24.453125" style="3" bestFit="1" customWidth="1"/>
    <col min="17" max="17" width="17.453125" style="3" bestFit="1" customWidth="1"/>
    <col min="18" max="18" width="12.81640625" style="3" bestFit="1" customWidth="1"/>
    <col min="19" max="16384" width="11.453125" style="3"/>
  </cols>
  <sheetData>
    <row r="1" spans="1:19" x14ac:dyDescent="0.3">
      <c r="R1" s="3" t="s">
        <v>17</v>
      </c>
      <c r="S1" s="6">
        <v>5.0000000000000002E-5</v>
      </c>
    </row>
    <row r="3" spans="1:19" ht="12" thickBot="1" x14ac:dyDescent="0.35"/>
    <row r="4" spans="1:19" ht="15.75" customHeight="1" thickBot="1" x14ac:dyDescent="0.35">
      <c r="O4" s="90" t="s">
        <v>19</v>
      </c>
      <c r="P4" s="91"/>
      <c r="Q4" s="14" t="s">
        <v>20</v>
      </c>
      <c r="R4" s="15" t="s">
        <v>21</v>
      </c>
    </row>
    <row r="5" spans="1:19" x14ac:dyDescent="0.3">
      <c r="O5" s="12" t="s">
        <v>8</v>
      </c>
      <c r="P5" s="13">
        <v>351470272610.34003</v>
      </c>
      <c r="Q5" s="13">
        <f>+P5*$S$1</f>
        <v>17573513.630517002</v>
      </c>
      <c r="R5" s="13">
        <f>+Q5/12</f>
        <v>1464459.4692097502</v>
      </c>
    </row>
    <row r="6" spans="1:19" x14ac:dyDescent="0.3">
      <c r="O6" s="8" t="s">
        <v>9</v>
      </c>
      <c r="P6" s="7">
        <v>47239672902.239998</v>
      </c>
      <c r="Q6" s="13">
        <f t="shared" ref="Q6:Q12" si="0">+P6*$S$1</f>
        <v>2361983.6451119999</v>
      </c>
      <c r="R6" s="13">
        <f t="shared" ref="R6:R11" si="1">+Q6/12</f>
        <v>196831.97042599999</v>
      </c>
    </row>
    <row r="7" spans="1:19" x14ac:dyDescent="0.3">
      <c r="O7" s="8" t="s">
        <v>10</v>
      </c>
      <c r="P7" s="7">
        <v>148369235979.94</v>
      </c>
      <c r="Q7" s="13">
        <f t="shared" si="0"/>
        <v>7418461.7989970008</v>
      </c>
      <c r="R7" s="13">
        <f t="shared" si="1"/>
        <v>618205.14991641673</v>
      </c>
    </row>
    <row r="8" spans="1:19" x14ac:dyDescent="0.3">
      <c r="A8" s="4" t="s">
        <v>0</v>
      </c>
      <c r="O8" s="8" t="s">
        <v>11</v>
      </c>
      <c r="P8" s="7">
        <v>6585584699.7799997</v>
      </c>
      <c r="Q8" s="13">
        <f t="shared" si="0"/>
        <v>329279.23498900002</v>
      </c>
      <c r="R8" s="13">
        <f t="shared" si="1"/>
        <v>27439.936249083334</v>
      </c>
    </row>
    <row r="9" spans="1:19" x14ac:dyDescent="0.3">
      <c r="O9" s="8" t="s">
        <v>12</v>
      </c>
      <c r="P9" s="7">
        <v>25812328987.759998</v>
      </c>
      <c r="Q9" s="13">
        <f t="shared" si="0"/>
        <v>1290616.4493879999</v>
      </c>
      <c r="R9" s="13">
        <f t="shared" si="1"/>
        <v>107551.37078233332</v>
      </c>
    </row>
    <row r="10" spans="1:19" x14ac:dyDescent="0.3">
      <c r="A10" s="3" t="s">
        <v>3</v>
      </c>
      <c r="C10" s="5">
        <v>0.1</v>
      </c>
      <c r="O10" s="8" t="s">
        <v>13</v>
      </c>
      <c r="P10" s="7">
        <v>550484733780.17004</v>
      </c>
      <c r="Q10" s="13">
        <f t="shared" si="0"/>
        <v>27524236.689008504</v>
      </c>
      <c r="R10" s="13">
        <f t="shared" si="1"/>
        <v>2293686.3907507085</v>
      </c>
    </row>
    <row r="11" spans="1:19" ht="12" thickBot="1" x14ac:dyDescent="0.35">
      <c r="A11" s="3" t="s">
        <v>4</v>
      </c>
      <c r="C11" s="5">
        <v>0.05</v>
      </c>
      <c r="O11" s="9" t="s">
        <v>14</v>
      </c>
      <c r="P11" s="10">
        <v>13855074123.639999</v>
      </c>
      <c r="Q11" s="16">
        <f t="shared" si="0"/>
        <v>692753.70618199999</v>
      </c>
      <c r="R11" s="16">
        <f t="shared" si="1"/>
        <v>57729.475515166669</v>
      </c>
    </row>
    <row r="12" spans="1:19" ht="12" thickBot="1" x14ac:dyDescent="0.35">
      <c r="A12" s="3" t="s">
        <v>5</v>
      </c>
      <c r="C12" s="5">
        <v>0.03</v>
      </c>
      <c r="O12" s="11" t="s">
        <v>18</v>
      </c>
      <c r="P12" s="17">
        <f>SUM(P5:P11)</f>
        <v>1143816903083.8699</v>
      </c>
      <c r="Q12" s="18">
        <f t="shared" si="0"/>
        <v>57190845.154193498</v>
      </c>
      <c r="R12" s="19">
        <f>SUM(R5:R11)</f>
        <v>4765903.7628494585</v>
      </c>
    </row>
  </sheetData>
  <mergeCells count="1">
    <mergeCell ref="O4:P4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9D33E-7162-4294-A82B-4085878EB962}">
  <dimension ref="A1:L42"/>
  <sheetViews>
    <sheetView workbookViewId="0">
      <selection activeCell="G27" sqref="G27"/>
    </sheetView>
  </sheetViews>
  <sheetFormatPr baseColWidth="10" defaultColWidth="11.453125" defaultRowHeight="14.5" x14ac:dyDescent="0.35"/>
  <cols>
    <col min="1" max="1" width="3.1796875" style="30" customWidth="1"/>
    <col min="2" max="2" width="22.26953125" style="30" customWidth="1"/>
    <col min="3" max="3" width="22.453125" style="30" bestFit="1" customWidth="1"/>
    <col min="4" max="4" width="22.54296875" style="30" bestFit="1" customWidth="1"/>
    <col min="5" max="5" width="24.453125" style="30" bestFit="1" customWidth="1"/>
    <col min="6" max="6" width="14.81640625" style="30" bestFit="1" customWidth="1"/>
    <col min="7" max="7" width="13.453125" style="30" bestFit="1" customWidth="1"/>
    <col min="8" max="8" width="24.26953125" style="30" customWidth="1"/>
    <col min="9" max="9" width="22.453125" style="30" bestFit="1" customWidth="1"/>
    <col min="10" max="10" width="22.54296875" style="30" bestFit="1" customWidth="1"/>
    <col min="11" max="11" width="16.1796875" style="30" bestFit="1" customWidth="1"/>
    <col min="12" max="12" width="15" style="30" bestFit="1" customWidth="1"/>
    <col min="13" max="16384" width="11.453125" style="30"/>
  </cols>
  <sheetData>
    <row r="1" spans="1:12" ht="15" thickBot="1" x14ac:dyDescent="0.4">
      <c r="B1" s="31" t="s">
        <v>81</v>
      </c>
      <c r="F1" s="34">
        <v>5.0000000000000001E-4</v>
      </c>
    </row>
    <row r="2" spans="1:12" ht="15" thickBot="1" x14ac:dyDescent="0.4">
      <c r="B2" s="28" t="s">
        <v>67</v>
      </c>
      <c r="C2" s="29" t="s">
        <v>82</v>
      </c>
      <c r="D2" s="70" t="s">
        <v>31</v>
      </c>
      <c r="E2" s="70" t="s">
        <v>65</v>
      </c>
      <c r="F2" s="15" t="s">
        <v>20</v>
      </c>
      <c r="G2" s="15" t="s">
        <v>21</v>
      </c>
      <c r="H2" s="80">
        <v>1000</v>
      </c>
      <c r="I2" s="47" t="s">
        <v>60</v>
      </c>
      <c r="J2" s="50"/>
      <c r="K2" s="51"/>
    </row>
    <row r="3" spans="1:12" ht="15" customHeight="1" x14ac:dyDescent="0.35">
      <c r="A3" s="32">
        <v>1</v>
      </c>
      <c r="B3" s="30" t="s">
        <v>23</v>
      </c>
      <c r="C3" s="79">
        <v>256357122033.53</v>
      </c>
      <c r="D3" s="36">
        <v>200500000</v>
      </c>
      <c r="E3" s="36">
        <v>0</v>
      </c>
      <c r="F3" s="36">
        <f t="shared" ref="F3:F25" si="0">+C3*$F$1</f>
        <v>128178561.016765</v>
      </c>
      <c r="G3" s="36">
        <f>+F3/12</f>
        <v>10681546.751397083</v>
      </c>
      <c r="I3" s="48" t="s">
        <v>61</v>
      </c>
      <c r="J3" s="49" t="s">
        <v>58</v>
      </c>
      <c r="K3" s="49" t="s">
        <v>59</v>
      </c>
    </row>
    <row r="4" spans="1:12" x14ac:dyDescent="0.35">
      <c r="A4" s="32">
        <v>2</v>
      </c>
      <c r="B4" s="30" t="s">
        <v>24</v>
      </c>
      <c r="C4" s="79">
        <v>25477474443.139999</v>
      </c>
      <c r="D4" s="53">
        <v>0</v>
      </c>
      <c r="E4" s="58">
        <v>100000000</v>
      </c>
      <c r="F4" s="36">
        <f t="shared" si="0"/>
        <v>12738737.22157</v>
      </c>
      <c r="G4" s="36">
        <f t="shared" ref="G4:G25" si="1">+F4/12</f>
        <v>1061561.4351308334</v>
      </c>
      <c r="I4" s="60">
        <v>2020</v>
      </c>
      <c r="J4" s="61">
        <f>+SUM(I30:I36)</f>
        <v>1686584199505.0798</v>
      </c>
      <c r="K4" s="62">
        <f>+SUM(K30:K36)</f>
        <v>843292099.75253999</v>
      </c>
      <c r="L4" s="33"/>
    </row>
    <row r="5" spans="1:12" x14ac:dyDescent="0.35">
      <c r="A5" s="32">
        <v>3</v>
      </c>
      <c r="B5" s="30" t="s">
        <v>43</v>
      </c>
      <c r="C5" s="79">
        <v>545609732645.38</v>
      </c>
      <c r="D5" s="36">
        <v>550500000</v>
      </c>
      <c r="E5" s="58">
        <v>0</v>
      </c>
      <c r="F5" s="36">
        <f t="shared" si="0"/>
        <v>272804866.32269001</v>
      </c>
      <c r="G5" s="36">
        <f t="shared" si="1"/>
        <v>22733738.860224169</v>
      </c>
      <c r="I5" s="63">
        <v>2021</v>
      </c>
      <c r="J5" s="46">
        <f>+I42</f>
        <v>3354584302287.6499</v>
      </c>
      <c r="K5" s="64">
        <f>+K42</f>
        <v>1677292151.1438251</v>
      </c>
    </row>
    <row r="6" spans="1:12" x14ac:dyDescent="0.35">
      <c r="A6" s="32">
        <v>4</v>
      </c>
      <c r="B6" s="30" t="s">
        <v>34</v>
      </c>
      <c r="C6" s="79">
        <v>30500085296.849998</v>
      </c>
      <c r="D6" s="53">
        <v>0</v>
      </c>
      <c r="E6" s="58">
        <v>100000000</v>
      </c>
      <c r="F6" s="36">
        <f t="shared" si="0"/>
        <v>15250042.648425</v>
      </c>
      <c r="G6" s="36">
        <f t="shared" si="1"/>
        <v>1270836.8873687501</v>
      </c>
      <c r="I6" s="65">
        <v>2022</v>
      </c>
      <c r="J6" s="52">
        <f>+I42</f>
        <v>3354584302287.6499</v>
      </c>
      <c r="K6" s="66">
        <f>+K42</f>
        <v>1677292151.1438251</v>
      </c>
    </row>
    <row r="7" spans="1:12" x14ac:dyDescent="0.35">
      <c r="A7" s="32">
        <v>5</v>
      </c>
      <c r="B7" s="30" t="s">
        <v>38</v>
      </c>
      <c r="C7" s="79">
        <v>615544420416.05994</v>
      </c>
      <c r="D7" s="36">
        <v>550500000</v>
      </c>
      <c r="E7" s="58">
        <v>0</v>
      </c>
      <c r="F7" s="36">
        <f t="shared" si="0"/>
        <v>307772210.20802999</v>
      </c>
      <c r="G7" s="36">
        <f t="shared" si="1"/>
        <v>25647684.1840025</v>
      </c>
      <c r="I7" s="63">
        <v>2023</v>
      </c>
      <c r="J7" s="46">
        <f>+C26</f>
        <v>3615985108486.98</v>
      </c>
      <c r="K7" s="64">
        <f>+F26</f>
        <v>1807992554.24349</v>
      </c>
    </row>
    <row r="8" spans="1:12" x14ac:dyDescent="0.35">
      <c r="A8" s="32">
        <v>6</v>
      </c>
      <c r="B8" s="30" t="s">
        <v>25</v>
      </c>
      <c r="C8" s="79">
        <v>38707859062.489998</v>
      </c>
      <c r="D8" s="53">
        <v>0</v>
      </c>
      <c r="E8" s="58">
        <v>100000000</v>
      </c>
      <c r="F8" s="36">
        <f t="shared" si="0"/>
        <v>19353929.531245001</v>
      </c>
      <c r="G8" s="36">
        <f t="shared" si="1"/>
        <v>1612827.4609370835</v>
      </c>
      <c r="I8" s="67">
        <v>2024</v>
      </c>
      <c r="J8" s="68">
        <f>+C26</f>
        <v>3615985108486.98</v>
      </c>
      <c r="K8" s="69">
        <f>+F26</f>
        <v>1807992554.24349</v>
      </c>
    </row>
    <row r="9" spans="1:12" x14ac:dyDescent="0.35">
      <c r="A9" s="32">
        <v>7</v>
      </c>
      <c r="B9" s="30" t="s">
        <v>39</v>
      </c>
      <c r="C9" s="79">
        <v>63780912015.479996</v>
      </c>
      <c r="D9" s="36">
        <v>100500000</v>
      </c>
      <c r="E9" s="58">
        <v>0</v>
      </c>
      <c r="F9" s="36">
        <f t="shared" si="0"/>
        <v>31890456.007739998</v>
      </c>
      <c r="G9" s="36">
        <f t="shared" si="1"/>
        <v>2657538.000645</v>
      </c>
    </row>
    <row r="10" spans="1:12" x14ac:dyDescent="0.35">
      <c r="A10" s="32">
        <v>8</v>
      </c>
      <c r="B10" s="30" t="s">
        <v>44</v>
      </c>
      <c r="C10" s="79">
        <v>182773614419.09998</v>
      </c>
      <c r="D10" s="36">
        <v>100500000</v>
      </c>
      <c r="E10" s="58">
        <v>0</v>
      </c>
      <c r="F10" s="36">
        <f t="shared" si="0"/>
        <v>91386807.209549993</v>
      </c>
      <c r="G10" s="36">
        <f t="shared" si="1"/>
        <v>7615567.2674624994</v>
      </c>
    </row>
    <row r="11" spans="1:12" x14ac:dyDescent="0.35">
      <c r="A11" s="32">
        <v>9</v>
      </c>
      <c r="B11" s="30" t="s">
        <v>40</v>
      </c>
      <c r="C11" s="79">
        <v>9029527128.6200008</v>
      </c>
      <c r="D11" s="36">
        <v>22500000</v>
      </c>
      <c r="E11" s="58">
        <v>0</v>
      </c>
      <c r="F11" s="36">
        <f t="shared" si="0"/>
        <v>4514763.5643100003</v>
      </c>
      <c r="G11" s="36">
        <f t="shared" si="1"/>
        <v>376230.29702583334</v>
      </c>
    </row>
    <row r="12" spans="1:12" x14ac:dyDescent="0.35">
      <c r="A12" s="32">
        <v>10</v>
      </c>
      <c r="B12" s="30" t="s">
        <v>45</v>
      </c>
      <c r="C12" s="79">
        <v>39844705517.82</v>
      </c>
      <c r="D12" s="53">
        <v>0</v>
      </c>
      <c r="E12" s="58">
        <v>100000000</v>
      </c>
      <c r="F12" s="36">
        <f t="shared" si="0"/>
        <v>19922352.75891</v>
      </c>
      <c r="G12" s="36">
        <f t="shared" si="1"/>
        <v>1660196.0632424999</v>
      </c>
    </row>
    <row r="13" spans="1:12" x14ac:dyDescent="0.35">
      <c r="A13" s="32">
        <v>11</v>
      </c>
      <c r="B13" s="30" t="s">
        <v>41</v>
      </c>
      <c r="C13" s="79">
        <v>28392074924.630001</v>
      </c>
      <c r="D13" s="53">
        <v>0</v>
      </c>
      <c r="E13" s="58">
        <v>100000000</v>
      </c>
      <c r="F13" s="36">
        <f t="shared" si="0"/>
        <v>14196037.462315001</v>
      </c>
      <c r="G13" s="36">
        <f t="shared" si="1"/>
        <v>1183003.1218595833</v>
      </c>
    </row>
    <row r="14" spans="1:12" x14ac:dyDescent="0.35">
      <c r="A14" s="32">
        <v>12</v>
      </c>
      <c r="B14" s="30" t="s">
        <v>42</v>
      </c>
      <c r="C14" s="79">
        <v>30746584319.41</v>
      </c>
      <c r="D14" s="53">
        <v>0</v>
      </c>
      <c r="E14" s="58">
        <v>100000000</v>
      </c>
      <c r="F14" s="36">
        <f t="shared" si="0"/>
        <v>15373292.159705</v>
      </c>
      <c r="G14" s="36">
        <f t="shared" si="1"/>
        <v>1281107.6799754167</v>
      </c>
    </row>
    <row r="15" spans="1:12" x14ac:dyDescent="0.35">
      <c r="A15" s="32">
        <v>13</v>
      </c>
      <c r="B15" s="30" t="s">
        <v>46</v>
      </c>
      <c r="C15" s="79">
        <v>14287970869.42</v>
      </c>
      <c r="D15" s="53">
        <v>0</v>
      </c>
      <c r="E15" s="58">
        <v>36000000</v>
      </c>
      <c r="F15" s="36">
        <f t="shared" si="0"/>
        <v>7143985.4347100006</v>
      </c>
      <c r="G15" s="36">
        <f t="shared" si="1"/>
        <v>595332.11955916672</v>
      </c>
    </row>
    <row r="16" spans="1:12" x14ac:dyDescent="0.35">
      <c r="A16" s="32">
        <v>14</v>
      </c>
      <c r="B16" s="30" t="s">
        <v>47</v>
      </c>
      <c r="C16" s="79">
        <v>35857778822.570007</v>
      </c>
      <c r="D16" s="36">
        <v>50500000</v>
      </c>
      <c r="E16" s="58">
        <v>0</v>
      </c>
      <c r="F16" s="36">
        <f t="shared" si="0"/>
        <v>17928889.411285006</v>
      </c>
      <c r="G16" s="36">
        <f t="shared" si="1"/>
        <v>1494074.1176070839</v>
      </c>
    </row>
    <row r="17" spans="1:12" x14ac:dyDescent="0.35">
      <c r="A17" s="32">
        <v>15</v>
      </c>
      <c r="B17" s="30" t="s">
        <v>48</v>
      </c>
      <c r="C17" s="79">
        <v>104717543623.33</v>
      </c>
      <c r="D17" s="36">
        <v>100500000</v>
      </c>
      <c r="E17" s="58">
        <v>0</v>
      </c>
      <c r="F17" s="36">
        <f t="shared" si="0"/>
        <v>52358771.811664999</v>
      </c>
      <c r="G17" s="36">
        <f t="shared" si="1"/>
        <v>4363230.9843054162</v>
      </c>
    </row>
    <row r="18" spans="1:12" x14ac:dyDescent="0.35">
      <c r="A18" s="32">
        <v>16</v>
      </c>
      <c r="B18" s="30" t="s">
        <v>49</v>
      </c>
      <c r="C18" s="79">
        <v>823325145595.22998</v>
      </c>
      <c r="D18" s="36">
        <v>550500000</v>
      </c>
      <c r="E18" s="58">
        <v>0</v>
      </c>
      <c r="F18" s="36">
        <f t="shared" si="0"/>
        <v>411662572.79761499</v>
      </c>
      <c r="G18" s="36">
        <f t="shared" si="1"/>
        <v>34305214.399801247</v>
      </c>
    </row>
    <row r="19" spans="1:12" x14ac:dyDescent="0.35">
      <c r="A19" s="32">
        <v>17</v>
      </c>
      <c r="B19" s="30" t="s">
        <v>50</v>
      </c>
      <c r="C19" s="79">
        <v>15887235521.43</v>
      </c>
      <c r="D19" s="53">
        <v>0</v>
      </c>
      <c r="E19" s="58">
        <v>50000000</v>
      </c>
      <c r="F19" s="36">
        <f t="shared" si="0"/>
        <v>7943617.7607150003</v>
      </c>
      <c r="G19" s="36">
        <f t="shared" si="1"/>
        <v>661968.14672625007</v>
      </c>
    </row>
    <row r="20" spans="1:12" x14ac:dyDescent="0.35">
      <c r="A20" s="32">
        <v>18</v>
      </c>
      <c r="B20" s="30" t="s">
        <v>51</v>
      </c>
      <c r="C20" s="79">
        <v>14748832688.610001</v>
      </c>
      <c r="D20" s="53">
        <v>0</v>
      </c>
      <c r="E20" s="58">
        <v>36000000</v>
      </c>
      <c r="F20" s="36">
        <f t="shared" si="0"/>
        <v>7374416.3443050003</v>
      </c>
      <c r="G20" s="36">
        <f t="shared" si="1"/>
        <v>614534.69535875006</v>
      </c>
    </row>
    <row r="21" spans="1:12" x14ac:dyDescent="0.35">
      <c r="A21" s="32">
        <v>19</v>
      </c>
      <c r="B21" s="30" t="s">
        <v>35</v>
      </c>
      <c r="C21" s="79">
        <v>691381016709.65002</v>
      </c>
      <c r="D21" s="36">
        <v>550500000</v>
      </c>
      <c r="E21" s="58">
        <v>0</v>
      </c>
      <c r="F21" s="36">
        <f t="shared" si="0"/>
        <v>345690508.35482502</v>
      </c>
      <c r="G21" s="36">
        <f t="shared" si="1"/>
        <v>28807542.362902086</v>
      </c>
    </row>
    <row r="22" spans="1:12" x14ac:dyDescent="0.35">
      <c r="A22" s="32">
        <v>20</v>
      </c>
      <c r="B22" s="30" t="s">
        <v>36</v>
      </c>
      <c r="C22" s="79">
        <v>12598659737.719999</v>
      </c>
      <c r="D22" s="53">
        <v>0</v>
      </c>
      <c r="E22" s="58">
        <v>36000000</v>
      </c>
      <c r="F22" s="36">
        <f t="shared" si="0"/>
        <v>6299329.8688599998</v>
      </c>
      <c r="G22" s="36">
        <f t="shared" si="1"/>
        <v>524944.15573833336</v>
      </c>
    </row>
    <row r="23" spans="1:12" x14ac:dyDescent="0.35">
      <c r="A23" s="32">
        <v>21</v>
      </c>
      <c r="B23" s="30" t="s">
        <v>37</v>
      </c>
      <c r="C23" s="79">
        <v>26207488878.700001</v>
      </c>
      <c r="D23" s="36">
        <v>36500000</v>
      </c>
      <c r="E23" s="58">
        <v>0</v>
      </c>
      <c r="F23" s="36">
        <f t="shared" si="0"/>
        <v>13103744.439350002</v>
      </c>
      <c r="G23" s="36">
        <f t="shared" si="1"/>
        <v>1091978.7032791667</v>
      </c>
    </row>
    <row r="24" spans="1:12" x14ac:dyDescent="0.35">
      <c r="A24" s="32">
        <v>22</v>
      </c>
      <c r="B24" s="30" t="s">
        <v>27</v>
      </c>
      <c r="C24" s="79">
        <v>10209323817.810001</v>
      </c>
      <c r="D24" s="53">
        <v>0</v>
      </c>
      <c r="E24" s="58">
        <v>36000000</v>
      </c>
      <c r="F24" s="36">
        <f t="shared" si="0"/>
        <v>5104661.9089050004</v>
      </c>
      <c r="G24" s="36">
        <f t="shared" si="1"/>
        <v>425388.49240875005</v>
      </c>
    </row>
    <row r="25" spans="1:12" ht="15" thickBot="1" x14ac:dyDescent="0.4">
      <c r="A25" s="32">
        <v>23</v>
      </c>
      <c r="B25" s="30" t="s">
        <v>52</v>
      </c>
      <c r="C25" s="79">
        <v>0</v>
      </c>
      <c r="D25" s="36">
        <v>9500000</v>
      </c>
      <c r="E25" s="58">
        <v>0</v>
      </c>
      <c r="F25" s="36">
        <f t="shared" si="0"/>
        <v>0</v>
      </c>
      <c r="G25" s="36">
        <f t="shared" si="1"/>
        <v>0</v>
      </c>
    </row>
    <row r="26" spans="1:12" ht="15" thickBot="1" x14ac:dyDescent="0.4">
      <c r="B26" s="41" t="s">
        <v>18</v>
      </c>
      <c r="C26" s="42">
        <f>SUM(C3:C25)</f>
        <v>3615985108486.98</v>
      </c>
      <c r="D26" s="42">
        <f>SUM(D3:D25)</f>
        <v>2823000000</v>
      </c>
      <c r="E26" s="59">
        <f>SUM(E3:E25)</f>
        <v>794000000</v>
      </c>
      <c r="F26" s="42">
        <f>SUM(F3:F25)</f>
        <v>1807992554.24349</v>
      </c>
      <c r="G26" s="43">
        <f>SUM(G3:G25)</f>
        <v>150666046.18695748</v>
      </c>
    </row>
    <row r="28" spans="1:12" ht="15" thickBot="1" x14ac:dyDescent="0.4">
      <c r="H28" s="31" t="s">
        <v>81</v>
      </c>
      <c r="K28" s="34">
        <v>5.0000000000000001E-4</v>
      </c>
    </row>
    <row r="29" spans="1:12" ht="15" thickBot="1" x14ac:dyDescent="0.4">
      <c r="H29" s="28" t="s">
        <v>62</v>
      </c>
      <c r="I29" s="29" t="s">
        <v>82</v>
      </c>
      <c r="J29" s="70" t="s">
        <v>31</v>
      </c>
      <c r="K29" s="14" t="s">
        <v>20</v>
      </c>
      <c r="L29" s="15" t="s">
        <v>21</v>
      </c>
    </row>
    <row r="30" spans="1:12" x14ac:dyDescent="0.35">
      <c r="G30" s="35">
        <v>1</v>
      </c>
      <c r="H30" s="37" t="str">
        <f>+B5</f>
        <v xml:space="preserve">COOPEALIANZA </v>
      </c>
      <c r="I30" s="38">
        <f>+C5</f>
        <v>545609732645.38</v>
      </c>
      <c r="J30" s="38">
        <f>+D5</f>
        <v>550500000</v>
      </c>
      <c r="K30" s="39">
        <f t="shared" ref="K30:K39" si="2">+I30*$K$28</f>
        <v>272804866.32269001</v>
      </c>
      <c r="L30" s="40">
        <f>+K30/12</f>
        <v>22733738.860224169</v>
      </c>
    </row>
    <row r="31" spans="1:12" x14ac:dyDescent="0.35">
      <c r="G31" s="35">
        <v>2</v>
      </c>
      <c r="H31" s="37" t="str">
        <f t="shared" ref="H31:J33" si="3">+B9</f>
        <v xml:space="preserve">COOPEBANPO </v>
      </c>
      <c r="I31" s="38">
        <f>+C9</f>
        <v>63780912015.479996</v>
      </c>
      <c r="J31" s="38">
        <f t="shared" si="3"/>
        <v>100500000</v>
      </c>
      <c r="K31" s="39">
        <f t="shared" si="2"/>
        <v>31890456.007739998</v>
      </c>
      <c r="L31" s="40">
        <f t="shared" ref="L31:L41" si="4">+K31/12</f>
        <v>2657538.000645</v>
      </c>
    </row>
    <row r="32" spans="1:12" x14ac:dyDescent="0.35">
      <c r="G32" s="35">
        <v>3</v>
      </c>
      <c r="H32" s="37" t="str">
        <f t="shared" si="3"/>
        <v xml:space="preserve">COOPECAJA </v>
      </c>
      <c r="I32" s="38">
        <f>+C10</f>
        <v>182773614419.09998</v>
      </c>
      <c r="J32" s="38">
        <f t="shared" si="3"/>
        <v>100500000</v>
      </c>
      <c r="K32" s="39">
        <f t="shared" si="2"/>
        <v>91386807.209549993</v>
      </c>
      <c r="L32" s="40">
        <f t="shared" si="4"/>
        <v>7615567.2674624994</v>
      </c>
    </row>
    <row r="33" spans="7:12" x14ac:dyDescent="0.35">
      <c r="G33" s="35">
        <v>4</v>
      </c>
      <c r="H33" s="37" t="str">
        <f t="shared" si="3"/>
        <v xml:space="preserve">COOPECAR </v>
      </c>
      <c r="I33" s="38">
        <f>+C11</f>
        <v>9029527128.6200008</v>
      </c>
      <c r="J33" s="38">
        <f t="shared" si="3"/>
        <v>22500000</v>
      </c>
      <c r="K33" s="39">
        <f t="shared" si="2"/>
        <v>4514763.5643100003</v>
      </c>
      <c r="L33" s="40">
        <f t="shared" si="4"/>
        <v>376230.29702583334</v>
      </c>
    </row>
    <row r="34" spans="7:12" x14ac:dyDescent="0.35">
      <c r="G34" s="35">
        <v>5</v>
      </c>
      <c r="H34" s="37" t="str">
        <f>+B16</f>
        <v xml:space="preserve">COOPEMEDICOS </v>
      </c>
      <c r="I34" s="38">
        <f>+C16</f>
        <v>35857778822.570007</v>
      </c>
      <c r="J34" s="38">
        <f>+D16</f>
        <v>50500000</v>
      </c>
      <c r="K34" s="39">
        <f t="shared" si="2"/>
        <v>17928889.411285006</v>
      </c>
      <c r="L34" s="40">
        <f t="shared" si="4"/>
        <v>1494074.1176070839</v>
      </c>
    </row>
    <row r="35" spans="7:12" x14ac:dyDescent="0.35">
      <c r="G35" s="35">
        <v>6</v>
      </c>
      <c r="H35" s="37" t="str">
        <f>+B18</f>
        <v xml:space="preserve">COOPENAE </v>
      </c>
      <c r="I35" s="38">
        <f>+C18</f>
        <v>823325145595.22998</v>
      </c>
      <c r="J35" s="38">
        <f>+D18</f>
        <v>550500000</v>
      </c>
      <c r="K35" s="39">
        <f t="shared" si="2"/>
        <v>411662572.79761499</v>
      </c>
      <c r="L35" s="40">
        <f t="shared" si="4"/>
        <v>34305214.399801247</v>
      </c>
    </row>
    <row r="36" spans="7:12" x14ac:dyDescent="0.35">
      <c r="G36" s="35">
        <v>7</v>
      </c>
      <c r="H36" s="37" t="str">
        <f>+B23</f>
        <v xml:space="preserve">CREDECOOP </v>
      </c>
      <c r="I36" s="38">
        <f>+C23</f>
        <v>26207488878.700001</v>
      </c>
      <c r="J36" s="38">
        <f>+D23</f>
        <v>36500000</v>
      </c>
      <c r="K36" s="39">
        <f t="shared" si="2"/>
        <v>13103744.439350002</v>
      </c>
      <c r="L36" s="40">
        <f t="shared" si="4"/>
        <v>1091978.7032791667</v>
      </c>
    </row>
    <row r="37" spans="7:12" x14ac:dyDescent="0.35">
      <c r="G37" s="35">
        <v>8</v>
      </c>
      <c r="H37" s="37" t="str">
        <f>+B3</f>
        <v>COOCIQUE</v>
      </c>
      <c r="I37" s="38">
        <f>+C3</f>
        <v>256357122033.53</v>
      </c>
      <c r="J37" s="38">
        <v>200500000</v>
      </c>
      <c r="K37" s="39">
        <f t="shared" si="2"/>
        <v>128178561.016765</v>
      </c>
      <c r="L37" s="40">
        <f t="shared" si="4"/>
        <v>10681546.751397083</v>
      </c>
    </row>
    <row r="38" spans="7:12" x14ac:dyDescent="0.35">
      <c r="G38" s="35">
        <v>9</v>
      </c>
      <c r="H38" s="37" t="str">
        <f>+B21</f>
        <v xml:space="preserve">COOPESERVIDORES </v>
      </c>
      <c r="I38" s="38">
        <f>+C21</f>
        <v>691381016709.65002</v>
      </c>
      <c r="J38" s="38">
        <v>550500000</v>
      </c>
      <c r="K38" s="39">
        <f t="shared" si="2"/>
        <v>345690508.35482502</v>
      </c>
      <c r="L38" s="40">
        <f t="shared" si="4"/>
        <v>28807542.362902086</v>
      </c>
    </row>
    <row r="39" spans="7:12" x14ac:dyDescent="0.35">
      <c r="G39" s="35">
        <v>10</v>
      </c>
      <c r="H39" s="37" t="str" cm="1">
        <f t="array" ref="H39:I39">+B17:C17</f>
        <v xml:space="preserve">COOPEMEP </v>
      </c>
      <c r="I39" s="38">
        <v>104717543623.33</v>
      </c>
      <c r="J39" s="38">
        <v>100500000</v>
      </c>
      <c r="K39" s="39">
        <f t="shared" si="2"/>
        <v>52358771.811664999</v>
      </c>
      <c r="L39" s="40">
        <f t="shared" si="4"/>
        <v>4363230.9843054162</v>
      </c>
    </row>
    <row r="40" spans="7:12" x14ac:dyDescent="0.35">
      <c r="G40" s="35">
        <v>11</v>
      </c>
      <c r="H40" s="37" t="str" cm="1">
        <f t="array" ref="H40:I40">+B25:C25</f>
        <v>COOPEASAMBLEA</v>
      </c>
      <c r="I40" s="38">
        <v>0</v>
      </c>
      <c r="J40" s="38">
        <v>9500000</v>
      </c>
      <c r="K40" s="39">
        <f t="shared" ref="K40" si="5">+I40*$K$28</f>
        <v>0</v>
      </c>
      <c r="L40" s="40">
        <f t="shared" si="4"/>
        <v>0</v>
      </c>
    </row>
    <row r="41" spans="7:12" ht="15" thickBot="1" x14ac:dyDescent="0.4">
      <c r="G41" s="35">
        <v>12</v>
      </c>
      <c r="H41" s="44" t="str" cm="1">
        <f t="array" ref="H41:I41">+B7:C7</f>
        <v xml:space="preserve">COOPEANDE Nº 1 </v>
      </c>
      <c r="I41" s="38">
        <v>615544420416.05994</v>
      </c>
      <c r="J41" s="38">
        <v>550500000</v>
      </c>
      <c r="K41" s="39">
        <f>+I41*$K$28</f>
        <v>307772210.20802999</v>
      </c>
      <c r="L41" s="40">
        <f t="shared" si="4"/>
        <v>25647684.1840025</v>
      </c>
    </row>
    <row r="42" spans="7:12" ht="15" thickBot="1" x14ac:dyDescent="0.4">
      <c r="H42" s="41" t="s">
        <v>53</v>
      </c>
      <c r="I42" s="42">
        <f>SUM(I30:I41)</f>
        <v>3354584302287.6499</v>
      </c>
      <c r="J42" s="42">
        <f>SUM(J30:J41)</f>
        <v>2823000000</v>
      </c>
      <c r="K42" s="42">
        <f>SUM(K30:K41)</f>
        <v>1677292151.1438251</v>
      </c>
      <c r="L42" s="43">
        <f>SUM(L30:L41)</f>
        <v>139774345.92865208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6F45B-1EE5-4BDA-ACE5-F13BB8C603FB}">
  <dimension ref="A1:P41"/>
  <sheetViews>
    <sheetView topLeftCell="A10" workbookViewId="0">
      <selection activeCell="F41" sqref="F41"/>
    </sheetView>
  </sheetViews>
  <sheetFormatPr baseColWidth="10" defaultColWidth="11.453125" defaultRowHeight="16" x14ac:dyDescent="0.45"/>
  <cols>
    <col min="1" max="1" width="32.7265625" style="1" bestFit="1" customWidth="1"/>
    <col min="2" max="2" width="19.1796875" style="1" bestFit="1" customWidth="1"/>
    <col min="3" max="3" width="19" style="1" customWidth="1"/>
    <col min="4" max="6" width="19.1796875" style="1" bestFit="1" customWidth="1"/>
    <col min="7" max="7" width="19.1796875" style="2" bestFit="1" customWidth="1"/>
    <col min="8" max="8" width="15.54296875" style="1" bestFit="1" customWidth="1"/>
    <col min="9" max="9" width="27.1796875" style="1" bestFit="1" customWidth="1"/>
    <col min="10" max="10" width="2.453125" style="1" customWidth="1"/>
    <col min="11" max="11" width="15.26953125" style="1" bestFit="1" customWidth="1"/>
    <col min="12" max="15" width="16.7265625" style="1" bestFit="1" customWidth="1"/>
    <col min="16" max="16" width="14.453125" style="1" bestFit="1" customWidth="1"/>
    <col min="17" max="18" width="16.54296875" style="1" bestFit="1" customWidth="1"/>
    <col min="19" max="16384" width="11.453125" style="1"/>
  </cols>
  <sheetData>
    <row r="1" spans="1:16" x14ac:dyDescent="0.45">
      <c r="P1" s="2"/>
    </row>
    <row r="2" spans="1:16" x14ac:dyDescent="0.45">
      <c r="P2" s="2"/>
    </row>
    <row r="3" spans="1:16" x14ac:dyDescent="0.45">
      <c r="P3" s="2"/>
    </row>
    <row r="4" spans="1:16" x14ac:dyDescent="0.45">
      <c r="P4" s="2"/>
    </row>
    <row r="9" spans="1:16" x14ac:dyDescent="0.45">
      <c r="G9" s="72" t="s">
        <v>2</v>
      </c>
    </row>
    <row r="11" spans="1:16" x14ac:dyDescent="0.45">
      <c r="C11" s="20">
        <v>2020</v>
      </c>
      <c r="D11" s="20">
        <v>2021</v>
      </c>
      <c r="E11" s="20">
        <v>2022</v>
      </c>
      <c r="F11" s="20">
        <v>2023</v>
      </c>
      <c r="G11" s="20">
        <v>2024</v>
      </c>
      <c r="H11" s="20"/>
    </row>
    <row r="12" spans="1:16" x14ac:dyDescent="0.45">
      <c r="A12" s="2" t="s">
        <v>66</v>
      </c>
      <c r="C12" s="45"/>
      <c r="D12" s="45"/>
      <c r="E12" s="45"/>
      <c r="F12" s="45"/>
      <c r="G12" s="54"/>
      <c r="H12" s="71"/>
    </row>
    <row r="13" spans="1:16" x14ac:dyDescent="0.45">
      <c r="A13" s="1" t="s">
        <v>86</v>
      </c>
      <c r="C13" s="78">
        <f>+'Modelo Ingresos-Gastos (210)'!D26</f>
        <v>2823000000</v>
      </c>
      <c r="D13" s="78">
        <f>+'Modelo Ingresos-Gastos (210)'!E26</f>
        <v>2823000000</v>
      </c>
      <c r="E13" s="78">
        <f>+'Modelo Ingresos-Gastos (210)'!F26</f>
        <v>2823000000</v>
      </c>
      <c r="F13" s="78">
        <f>+'Modelo Ingresos-Gastos (210)'!G26</f>
        <v>3252000000</v>
      </c>
      <c r="G13" s="78">
        <f>+'Modelo Ingresos-Gastos (210)'!H26</f>
        <v>3252000000</v>
      </c>
      <c r="H13" s="2"/>
    </row>
    <row r="14" spans="1:16" x14ac:dyDescent="0.45">
      <c r="A14" s="1" t="s">
        <v>87</v>
      </c>
      <c r="C14" s="78">
        <f>+'Modelo Ingresos-Gastos (130)'!C26</f>
        <v>2823000000</v>
      </c>
      <c r="D14" s="78">
        <f>+'Modelo Ingresos-Gastos (130)'!D26</f>
        <v>2823000000</v>
      </c>
      <c r="E14" s="78">
        <f>+'Modelo Ingresos-Gastos (130)'!E26</f>
        <v>2823000000</v>
      </c>
      <c r="F14" s="78">
        <f>+'Modelo Ingresos-Gastos (130)'!F26</f>
        <v>3498000000</v>
      </c>
      <c r="G14" s="78">
        <f>+'Modelo Ingresos-Gastos (130)'!G26</f>
        <v>3498000000</v>
      </c>
      <c r="H14" s="2"/>
    </row>
    <row r="15" spans="1:16" x14ac:dyDescent="0.45">
      <c r="A15" s="1" t="s">
        <v>88</v>
      </c>
      <c r="C15" s="78">
        <f>+'Modelo Ingresos-Gasto (120+130)'!C26</f>
        <v>2823000000</v>
      </c>
      <c r="D15" s="78">
        <f>+'Modelo Ingresos-Gasto (120+130)'!D26</f>
        <v>2823000000</v>
      </c>
      <c r="E15" s="78">
        <f>+'Modelo Ingresos-Gasto (120+130)'!E26</f>
        <v>2823000000</v>
      </c>
      <c r="F15" s="78">
        <f>+'Modelo Ingresos-Gasto (120+130)'!F26</f>
        <v>3589000000</v>
      </c>
      <c r="G15" s="78">
        <f>+'Modelo Ingresos-Gasto (120+130)'!G26</f>
        <v>3589000000</v>
      </c>
      <c r="H15" s="2"/>
    </row>
    <row r="16" spans="1:16" x14ac:dyDescent="0.45">
      <c r="A16" s="1" t="s">
        <v>89</v>
      </c>
      <c r="C16" s="78">
        <f>+'Modelo Ingresos-Gastos (10,000)'!C26</f>
        <v>2823000000</v>
      </c>
      <c r="D16" s="78">
        <f>+'Modelo Ingresos-Gastos (10,000)'!D26</f>
        <v>2823000000</v>
      </c>
      <c r="E16" s="78">
        <f>+'Modelo Ingresos-Gastos (10,000)'!E26</f>
        <v>2823000000</v>
      </c>
      <c r="F16" s="78">
        <f>+'Modelo Ingresos-Gastos (10,000)'!F26</f>
        <v>3617000000</v>
      </c>
      <c r="G16" s="78">
        <f>+'Modelo Ingresos-Gastos (10,000)'!G26</f>
        <v>3617000000</v>
      </c>
      <c r="H16" s="2"/>
    </row>
    <row r="17" spans="1:8" x14ac:dyDescent="0.45">
      <c r="C17" s="23"/>
      <c r="D17" s="23"/>
      <c r="E17" s="23"/>
      <c r="F17" s="23"/>
      <c r="G17" s="23"/>
      <c r="H17" s="73"/>
    </row>
    <row r="18" spans="1:8" x14ac:dyDescent="0.45">
      <c r="A18" s="2" t="s">
        <v>90</v>
      </c>
      <c r="C18" s="57"/>
      <c r="D18" s="57"/>
      <c r="E18" s="57"/>
      <c r="F18" s="57"/>
      <c r="G18" s="57"/>
      <c r="H18" s="73"/>
    </row>
    <row r="19" spans="1:8" x14ac:dyDescent="0.45">
      <c r="A19" s="1" t="s">
        <v>86</v>
      </c>
      <c r="C19" s="78">
        <f>+'Modelo Ingresos-Gastos (210)'!D35</f>
        <v>519005429.84530485</v>
      </c>
      <c r="D19" s="78">
        <f>+'Modelo Ingresos-Gastos (210)'!E35</f>
        <v>1383168208.5567081</v>
      </c>
      <c r="E19" s="78">
        <f>+'Modelo Ingresos-Gastos (210)'!F35</f>
        <v>1405863092.7278421</v>
      </c>
      <c r="F19" s="78">
        <f>+'Modelo Ingresos-Gastos (210)'!G35</f>
        <v>1490547750.8127165</v>
      </c>
      <c r="G19" s="78">
        <f>+'Modelo Ingresos-Gastos (210)'!H35</f>
        <v>1514635185.8289709</v>
      </c>
      <c r="H19" s="73"/>
    </row>
    <row r="20" spans="1:8" x14ac:dyDescent="0.45">
      <c r="A20" s="1" t="s">
        <v>87</v>
      </c>
      <c r="C20" s="78">
        <f>+'Modelo Ingresos-Gastos (130)'!C35</f>
        <v>556139342.35213816</v>
      </c>
      <c r="D20" s="78">
        <f>+'Modelo Ingresos-Gastos (130)'!D35</f>
        <v>1521216685.7803323</v>
      </c>
      <c r="E20" s="78">
        <f>+'Modelo Ingresos-Gastos (130)'!E35</f>
        <v>1546672539.495939</v>
      </c>
      <c r="F20" s="78">
        <f>+'Modelo Ingresos-Gastos (130)'!F35</f>
        <v>1683407232.234004</v>
      </c>
      <c r="G20" s="78">
        <f>+'Modelo Ingresos-Gastos (130)'!G35</f>
        <v>1710918896.8786843</v>
      </c>
      <c r="H20" s="73"/>
    </row>
    <row r="21" spans="1:8" x14ac:dyDescent="0.45">
      <c r="A21" s="1" t="s">
        <v>88</v>
      </c>
      <c r="C21" s="78">
        <f>+'Modelo Ingresos-Gasto (120+130)'!C35</f>
        <v>672764725.36704588</v>
      </c>
      <c r="D21" s="78">
        <f>+'Modelo Ingresos-Gasto (120+130)'!D35</f>
        <v>2008294026.169354</v>
      </c>
      <c r="E21" s="78">
        <f>+'Modelo Ingresos-Gasto (120+130)'!E35</f>
        <v>2043491426.6927412</v>
      </c>
      <c r="F21" s="78">
        <f>+'Modelo Ingresos-Gasto (120+130)'!F35</f>
        <v>2207964787.9798136</v>
      </c>
      <c r="G21" s="78">
        <f>+'Modelo Ingresos-Gasto (120+130)'!G35</f>
        <v>2245807443.7394104</v>
      </c>
      <c r="H21" s="73"/>
    </row>
    <row r="22" spans="1:8" x14ac:dyDescent="0.45">
      <c r="A22" s="1" t="s">
        <v>89</v>
      </c>
      <c r="C22" s="78">
        <f>+'Modelo Ingresos-Gastos (10,000)'!C35</f>
        <v>702157314.27185404</v>
      </c>
      <c r="D22" s="78">
        <f>+'Modelo Ingresos-Gastos (10,000)'!D35</f>
        <v>2110500072.851038</v>
      </c>
      <c r="E22" s="78">
        <f>+'Modelo Ingresos-Gastos (10,000)'!E35</f>
        <v>2147741594.3080587</v>
      </c>
      <c r="F22" s="78">
        <f>+'Modelo Ingresos-Gastos (10,000)'!F35</f>
        <v>2325471477.9593868</v>
      </c>
      <c r="G22" s="78">
        <f>+'Modelo Ingresos-Gastos (10,000)'!G35</f>
        <v>2365614987.5185747</v>
      </c>
      <c r="H22" s="73"/>
    </row>
    <row r="23" spans="1:8" x14ac:dyDescent="0.45">
      <c r="A23" s="2"/>
      <c r="C23" s="57"/>
      <c r="D23" s="57"/>
      <c r="E23" s="57"/>
      <c r="F23" s="57"/>
      <c r="G23" s="57"/>
      <c r="H23" s="73"/>
    </row>
    <row r="24" spans="1:8" x14ac:dyDescent="0.45">
      <c r="A24" s="2" t="s">
        <v>1</v>
      </c>
      <c r="C24" s="78">
        <v>285110351.81</v>
      </c>
      <c r="D24" s="78">
        <v>313621386.99100006</v>
      </c>
      <c r="E24" s="78">
        <v>329302456.34055007</v>
      </c>
      <c r="F24" s="78">
        <v>339181530.03076655</v>
      </c>
      <c r="G24" s="78">
        <v>349356975.93168956</v>
      </c>
      <c r="H24" s="73" t="s">
        <v>2</v>
      </c>
    </row>
    <row r="25" spans="1:8" x14ac:dyDescent="0.45">
      <c r="C25" s="21"/>
      <c r="D25" s="21"/>
      <c r="E25" s="21"/>
      <c r="F25" s="21"/>
      <c r="G25" s="21"/>
      <c r="H25" s="2"/>
    </row>
    <row r="26" spans="1:8" x14ac:dyDescent="0.45">
      <c r="A26" s="2" t="s">
        <v>29</v>
      </c>
      <c r="C26" s="26"/>
      <c r="D26" s="26"/>
      <c r="E26" s="26"/>
      <c r="F26" s="26"/>
      <c r="G26" s="26"/>
      <c r="H26" s="57"/>
    </row>
    <row r="27" spans="1:8" x14ac:dyDescent="0.45">
      <c r="A27" s="1" t="s">
        <v>86</v>
      </c>
      <c r="C27" s="78">
        <f>+'Modelo Ingresos-Gastos (210)'!D39</f>
        <v>233895078.03530484</v>
      </c>
      <c r="D27" s="78">
        <f>+'Modelo Ingresos-Gastos (210)'!E39</f>
        <v>1069546821.565708</v>
      </c>
      <c r="E27" s="78">
        <f>+'Modelo Ingresos-Gastos (210)'!F39</f>
        <v>1076560636.3872919</v>
      </c>
      <c r="F27" s="78">
        <f>+'Modelo Ingresos-Gastos (210)'!G39</f>
        <v>1151366220.78195</v>
      </c>
      <c r="G27" s="78">
        <f>+'Modelo Ingresos-Gastos (210)'!H39</f>
        <v>1165278209.8972814</v>
      </c>
    </row>
    <row r="28" spans="1:8" x14ac:dyDescent="0.45">
      <c r="A28" s="1" t="s">
        <v>87</v>
      </c>
      <c r="C28" s="78">
        <f>+'Modelo Ingresos-Gastos (130)'!C39</f>
        <v>271028990.54213816</v>
      </c>
      <c r="D28" s="78">
        <f>+'Modelo Ingresos-Gastos (130)'!D39</f>
        <v>1207595298.7893324</v>
      </c>
      <c r="E28" s="78">
        <f>+'Modelo Ingresos-Gastos (130)'!E39</f>
        <v>1217370083.1553888</v>
      </c>
      <c r="F28" s="78">
        <f>+'Modelo Ingresos-Gastos (130)'!F39</f>
        <v>1344225702.2032375</v>
      </c>
      <c r="G28" s="78">
        <f>+'Modelo Ingresos-Gastos (130)'!G39</f>
        <v>1361561920.9469948</v>
      </c>
    </row>
    <row r="29" spans="1:8" x14ac:dyDescent="0.45">
      <c r="A29" s="1" t="s">
        <v>88</v>
      </c>
      <c r="C29" s="78">
        <f>+'Modelo Ingresos-Gasto (120+130)'!C39</f>
        <v>387654373.55704588</v>
      </c>
      <c r="D29" s="78">
        <f>+'Modelo Ingresos-Gasto (120+130)'!D39</f>
        <v>1694672639.1783538</v>
      </c>
      <c r="E29" s="78">
        <f>+'Modelo Ingresos-Gasto (120+130)'!E39</f>
        <v>1714188970.352191</v>
      </c>
      <c r="F29" s="78">
        <f>+'Modelo Ingresos-Gasto (120+130)'!F39</f>
        <v>1868783257.9490471</v>
      </c>
      <c r="G29" s="78">
        <f>+'Modelo Ingresos-Gasto (120+130)'!G39</f>
        <v>1896450467.8077209</v>
      </c>
    </row>
    <row r="30" spans="1:8" x14ac:dyDescent="0.45">
      <c r="A30" s="1" t="s">
        <v>89</v>
      </c>
      <c r="C30" s="78">
        <f>+'Modelo Ingresos-Gastos (10,000)'!C39</f>
        <v>417046962.46185404</v>
      </c>
      <c r="D30" s="78">
        <f>+'Modelo Ingresos-Gastos (10,000)'!D39</f>
        <v>1796878685.8600378</v>
      </c>
      <c r="E30" s="78">
        <f>+'Modelo Ingresos-Gastos (10,000)'!E39</f>
        <v>1818439137.9675088</v>
      </c>
      <c r="F30" s="78">
        <f>+'Modelo Ingresos-Gastos (10,000)'!F39</f>
        <v>1986289947.9286203</v>
      </c>
      <c r="G30" s="78">
        <f>+'Modelo Ingresos-Gastos (10,000)'!G39</f>
        <v>2016258011.5868852</v>
      </c>
    </row>
    <row r="36" spans="3:3" x14ac:dyDescent="0.45">
      <c r="C36" s="77">
        <f>+C19/580</f>
        <v>894836.94800914626</v>
      </c>
    </row>
    <row r="39" spans="3:3" x14ac:dyDescent="0.45">
      <c r="C39" s="77">
        <f>+C24/12</f>
        <v>23759195.984166667</v>
      </c>
    </row>
    <row r="41" spans="3:3" x14ac:dyDescent="0.45">
      <c r="C41" s="77">
        <f>+C39/7</f>
        <v>3394170.8548809523</v>
      </c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4BF1D4-5318-4E6B-8ADB-CA5FD6A4AF47}">
  <dimension ref="B1:Q57"/>
  <sheetViews>
    <sheetView tabSelected="1" topLeftCell="A42" workbookViewId="0">
      <selection activeCell="C45" sqref="C45:E56"/>
    </sheetView>
  </sheetViews>
  <sheetFormatPr baseColWidth="10" defaultColWidth="11.453125" defaultRowHeight="16" x14ac:dyDescent="0.45"/>
  <cols>
    <col min="1" max="1" width="3.7265625" style="1" customWidth="1"/>
    <col min="2" max="2" width="22.54296875" style="1" customWidth="1"/>
    <col min="3" max="5" width="20.36328125" style="1" customWidth="1"/>
    <col min="6" max="6" width="20.36328125" style="1" hidden="1" customWidth="1"/>
    <col min="7" max="7" width="19.1796875" style="1" bestFit="1" customWidth="1"/>
    <col min="8" max="8" width="19.1796875" style="2" bestFit="1" customWidth="1"/>
    <col min="9" max="9" width="15.54296875" style="1" bestFit="1" customWidth="1"/>
    <col min="10" max="10" width="27.1796875" style="1" bestFit="1" customWidth="1"/>
    <col min="11" max="11" width="2.453125" style="1" customWidth="1"/>
    <col min="12" max="12" width="15.26953125" style="1" bestFit="1" customWidth="1"/>
    <col min="13" max="16" width="16.7265625" style="1" bestFit="1" customWidth="1"/>
    <col min="17" max="17" width="14.453125" style="1" bestFit="1" customWidth="1"/>
    <col min="18" max="19" width="16.54296875" style="1" bestFit="1" customWidth="1"/>
    <col min="20" max="16384" width="11.453125" style="1"/>
  </cols>
  <sheetData>
    <row r="1" spans="2:17" x14ac:dyDescent="0.45">
      <c r="Q1" s="2"/>
    </row>
    <row r="2" spans="2:17" x14ac:dyDescent="0.45">
      <c r="Q2" s="2"/>
    </row>
    <row r="3" spans="2:17" x14ac:dyDescent="0.45">
      <c r="Q3" s="2"/>
    </row>
    <row r="4" spans="2:17" x14ac:dyDescent="0.45">
      <c r="Q4" s="2"/>
    </row>
    <row r="7" spans="2:17" s="75" customFormat="1" x14ac:dyDescent="0.35">
      <c r="B7" s="74" t="s">
        <v>22</v>
      </c>
    </row>
    <row r="8" spans="2:17" x14ac:dyDescent="0.45">
      <c r="C8" s="20">
        <v>2019</v>
      </c>
      <c r="D8" s="20">
        <v>2020</v>
      </c>
      <c r="E8" s="20">
        <v>2021</v>
      </c>
      <c r="F8" s="20">
        <v>2022</v>
      </c>
      <c r="G8" s="20">
        <v>2023</v>
      </c>
      <c r="H8" s="20">
        <v>2024</v>
      </c>
    </row>
    <row r="9" spans="2:17" x14ac:dyDescent="0.45">
      <c r="B9" s="1" t="s">
        <v>79</v>
      </c>
      <c r="C9" s="26">
        <f>+'Cédula de captaciones CAC´s'!J4</f>
        <v>1005785446874.1</v>
      </c>
      <c r="D9" s="26">
        <f>+C9*(1+$C$13)</f>
        <v>1025901155811.582</v>
      </c>
      <c r="E9" s="26">
        <f>+'Cédula de captaciones CAC´s'!J5*(1+'Modelo Ingresos-Gastos (210)'!C13)</f>
        <v>2085160250931.1062</v>
      </c>
      <c r="F9" s="26">
        <f>+E9*(1+$C$13)</f>
        <v>2126863455949.7283</v>
      </c>
      <c r="G9" s="26">
        <f>+'Cédula de captaciones CAC´s'!C26*(1+'Modelo Ingresos-Gastos (210)'!$C$13)</f>
        <v>2213105018031.4526</v>
      </c>
      <c r="H9" s="26">
        <f>+G9*(1+C13)</f>
        <v>2257367118392.0815</v>
      </c>
    </row>
    <row r="10" spans="2:17" x14ac:dyDescent="0.45">
      <c r="B10" s="1" t="s">
        <v>26</v>
      </c>
      <c r="C10" s="55">
        <v>5.0000000000000001E-4</v>
      </c>
      <c r="H10" s="1"/>
    </row>
    <row r="11" spans="2:17" x14ac:dyDescent="0.45">
      <c r="B11" s="22" t="s">
        <v>30</v>
      </c>
      <c r="C11" s="56">
        <v>8.8400000000000006E-2</v>
      </c>
      <c r="D11" s="76" t="s">
        <v>28</v>
      </c>
      <c r="H11" s="1"/>
    </row>
    <row r="12" spans="2:17" x14ac:dyDescent="0.45">
      <c r="B12" s="1" t="s">
        <v>57</v>
      </c>
      <c r="C12" s="56">
        <v>5.5E-2</v>
      </c>
      <c r="D12" s="76" t="s">
        <v>68</v>
      </c>
      <c r="H12" s="1"/>
    </row>
    <row r="13" spans="2:17" x14ac:dyDescent="0.45">
      <c r="B13" s="1" t="s">
        <v>54</v>
      </c>
      <c r="C13" s="56">
        <v>0.02</v>
      </c>
      <c r="E13" s="25"/>
      <c r="H13" s="1"/>
    </row>
    <row r="14" spans="2:17" x14ac:dyDescent="0.45">
      <c r="B14" s="1" t="s">
        <v>69</v>
      </c>
      <c r="C14" s="56">
        <v>2.0000000000000001E-4</v>
      </c>
      <c r="E14" s="25"/>
      <c r="H14" s="1"/>
    </row>
    <row r="15" spans="2:17" x14ac:dyDescent="0.45">
      <c r="B15" s="1" t="s">
        <v>63</v>
      </c>
      <c r="C15" s="78">
        <v>285110351.81</v>
      </c>
      <c r="H15" s="1"/>
    </row>
    <row r="16" spans="2:17" x14ac:dyDescent="0.45">
      <c r="H16" s="1"/>
    </row>
    <row r="17" spans="2:9" x14ac:dyDescent="0.45">
      <c r="B17" s="1" t="s">
        <v>3</v>
      </c>
      <c r="C17" s="24">
        <v>0.1</v>
      </c>
      <c r="H17" s="1"/>
    </row>
    <row r="18" spans="2:9" x14ac:dyDescent="0.45">
      <c r="B18" s="1" t="s">
        <v>4</v>
      </c>
      <c r="C18" s="24">
        <v>0.05</v>
      </c>
      <c r="D18" s="77"/>
      <c r="H18" s="1"/>
    </row>
    <row r="19" spans="2:9" x14ac:dyDescent="0.45">
      <c r="B19" s="1" t="s">
        <v>64</v>
      </c>
      <c r="C19" s="24">
        <v>0.03</v>
      </c>
      <c r="H19" s="1"/>
    </row>
    <row r="23" spans="2:9" x14ac:dyDescent="0.45">
      <c r="H23" s="72" t="s">
        <v>2</v>
      </c>
    </row>
    <row r="25" spans="2:9" x14ac:dyDescent="0.45">
      <c r="D25" s="20">
        <v>2020</v>
      </c>
      <c r="E25" s="20">
        <v>2021</v>
      </c>
      <c r="F25" s="20">
        <v>2022</v>
      </c>
      <c r="G25" s="20">
        <v>2023</v>
      </c>
      <c r="H25" s="20">
        <v>2024</v>
      </c>
      <c r="I25" s="20"/>
    </row>
    <row r="26" spans="2:9" x14ac:dyDescent="0.45">
      <c r="B26" s="2" t="s">
        <v>66</v>
      </c>
      <c r="D26" s="45">
        <f>+'Cédula de captaciones CAC´s'!J42</f>
        <v>2823000000</v>
      </c>
      <c r="E26" s="45">
        <f>+D26</f>
        <v>2823000000</v>
      </c>
      <c r="F26" s="45">
        <f>+D26</f>
        <v>2823000000</v>
      </c>
      <c r="G26" s="45">
        <f>+'Cédula de captaciones CAC´s'!D26+'Cédula de captaciones CAC´s'!E26</f>
        <v>3252000000</v>
      </c>
      <c r="H26" s="54">
        <f>+G26</f>
        <v>3252000000</v>
      </c>
      <c r="I26" s="71"/>
    </row>
    <row r="27" spans="2:9" x14ac:dyDescent="0.45">
      <c r="D27" s="20"/>
      <c r="E27" s="20"/>
      <c r="F27" s="20"/>
      <c r="G27" s="20"/>
      <c r="H27" s="20"/>
      <c r="I27" s="2"/>
    </row>
    <row r="28" spans="2:9" x14ac:dyDescent="0.45">
      <c r="B28" s="2" t="s">
        <v>15</v>
      </c>
      <c r="H28" s="1"/>
      <c r="I28" s="20" t="s">
        <v>91</v>
      </c>
    </row>
    <row r="29" spans="2:9" x14ac:dyDescent="0.45">
      <c r="B29" s="1" t="s">
        <v>6</v>
      </c>
      <c r="D29" s="23">
        <f>+(D9/2)*C10</f>
        <v>256475288.95289552</v>
      </c>
      <c r="E29" s="23">
        <f>+E9*C10</f>
        <v>1042580125.4655532</v>
      </c>
      <c r="F29" s="23">
        <f>+F9*C10</f>
        <v>1063431727.9748641</v>
      </c>
      <c r="G29" s="23">
        <f>+G9*C10</f>
        <v>1106552509.0157263</v>
      </c>
      <c r="H29" s="23">
        <f>+H9*C10</f>
        <v>1128683559.1960409</v>
      </c>
      <c r="I29" s="73">
        <f>SUM(D29:H29)</f>
        <v>4597723210.6050806</v>
      </c>
    </row>
    <row r="30" spans="2:9" x14ac:dyDescent="0.45">
      <c r="B30" s="1" t="s">
        <v>55</v>
      </c>
      <c r="D30" s="23">
        <f>+D29*C12</f>
        <v>14106140.892409254</v>
      </c>
      <c r="E30" s="23">
        <f>+E29*$C$11</f>
        <v>92164083.091154903</v>
      </c>
      <c r="F30" s="23">
        <f>+F29*$C$11</f>
        <v>94007364.752977997</v>
      </c>
      <c r="G30" s="23">
        <f>+G29*$C$11</f>
        <v>97819241.796990216</v>
      </c>
      <c r="H30" s="23">
        <f>+H29*$C$11</f>
        <v>99775626.632930025</v>
      </c>
      <c r="I30" s="73">
        <f t="shared" ref="I30:I31" si="0">SUM(D30:H30)</f>
        <v>397872457.16646242</v>
      </c>
    </row>
    <row r="31" spans="2:9" x14ac:dyDescent="0.45">
      <c r="B31" s="1" t="s">
        <v>56</v>
      </c>
      <c r="D31" s="23">
        <f>+D26*$C$11</f>
        <v>249553200.00000003</v>
      </c>
      <c r="E31" s="23">
        <f>+E26*$C$11</f>
        <v>249553200.00000003</v>
      </c>
      <c r="F31" s="23">
        <f>+F26*$C$11</f>
        <v>249553200.00000003</v>
      </c>
      <c r="G31" s="23">
        <f>+G26*$C$11</f>
        <v>287476800</v>
      </c>
      <c r="H31" s="23">
        <f>+H26*$C$11</f>
        <v>287476800</v>
      </c>
      <c r="I31" s="73">
        <f t="shared" si="0"/>
        <v>1323613200</v>
      </c>
    </row>
    <row r="32" spans="2:9" x14ac:dyDescent="0.45">
      <c r="D32" s="23"/>
      <c r="E32" s="23"/>
      <c r="F32" s="23"/>
      <c r="G32" s="23"/>
      <c r="H32" s="23"/>
      <c r="I32" s="73"/>
    </row>
    <row r="33" spans="2:9" x14ac:dyDescent="0.45">
      <c r="B33" s="2" t="s">
        <v>16</v>
      </c>
      <c r="D33" s="57">
        <f>SUM(D29:D31)-D34</f>
        <v>519570029.84530485</v>
      </c>
      <c r="E33" s="57">
        <f>SUM(E29:E31)-E34</f>
        <v>1383732808.5567081</v>
      </c>
      <c r="F33" s="57">
        <f>SUM(F29:F31)-F34</f>
        <v>1406427692.7278421</v>
      </c>
      <c r="G33" s="57">
        <f>SUM(G29:G31)-G34</f>
        <v>1491198150.8127165</v>
      </c>
      <c r="H33" s="57">
        <f>SUM(H29:H31)-H34</f>
        <v>1515285585.8289709</v>
      </c>
      <c r="I33" s="73">
        <f>SUM(I29:I31)</f>
        <v>6319208867.7715435</v>
      </c>
    </row>
    <row r="34" spans="2:9" x14ac:dyDescent="0.45">
      <c r="B34" s="1" t="s">
        <v>70</v>
      </c>
      <c r="D34" s="21">
        <f>+D26*$C$14</f>
        <v>564600</v>
      </c>
      <c r="E34" s="21">
        <f>+E26*$C$14</f>
        <v>564600</v>
      </c>
      <c r="F34" s="21">
        <f>+F26*$C$14</f>
        <v>564600</v>
      </c>
      <c r="G34" s="21">
        <f>+G26*$C$14</f>
        <v>650400</v>
      </c>
      <c r="H34" s="21">
        <f>+H26*$C$14</f>
        <v>650400</v>
      </c>
      <c r="I34" s="73">
        <f>SUM(D34:H34)</f>
        <v>2994600</v>
      </c>
    </row>
    <row r="35" spans="2:9" x14ac:dyDescent="0.45">
      <c r="B35" s="2" t="s">
        <v>71</v>
      </c>
      <c r="D35" s="57">
        <f t="shared" ref="D35:I35" si="1">+D33-D34</f>
        <v>519005429.84530485</v>
      </c>
      <c r="E35" s="57">
        <f t="shared" si="1"/>
        <v>1383168208.5567081</v>
      </c>
      <c r="F35" s="57">
        <f t="shared" si="1"/>
        <v>1405863092.7278421</v>
      </c>
      <c r="G35" s="57">
        <f t="shared" si="1"/>
        <v>1490547750.8127165</v>
      </c>
      <c r="H35" s="57">
        <f t="shared" si="1"/>
        <v>1514635185.8289709</v>
      </c>
      <c r="I35" s="73">
        <f t="shared" si="1"/>
        <v>6316214267.7715435</v>
      </c>
    </row>
    <row r="36" spans="2:9" x14ac:dyDescent="0.45">
      <c r="D36" s="23" t="s">
        <v>2</v>
      </c>
      <c r="E36" s="23" t="s">
        <v>2</v>
      </c>
      <c r="F36" s="23"/>
      <c r="G36" s="23"/>
      <c r="H36" s="23"/>
      <c r="I36" s="2"/>
    </row>
    <row r="37" spans="2:9" x14ac:dyDescent="0.45">
      <c r="B37" s="2" t="s">
        <v>1</v>
      </c>
      <c r="D37" s="21">
        <f>+C15</f>
        <v>285110351.81</v>
      </c>
      <c r="E37" s="21">
        <f>+D37*(1+C17)</f>
        <v>313621386.99100006</v>
      </c>
      <c r="F37" s="21">
        <f>+E37*(1+C18)</f>
        <v>329302456.34055007</v>
      </c>
      <c r="G37" s="21">
        <f>+F37*(1+$C$19)</f>
        <v>339181530.03076655</v>
      </c>
      <c r="H37" s="21">
        <f>+G37*(1+$C$19)</f>
        <v>349356975.93168956</v>
      </c>
      <c r="I37" s="73">
        <f>SUM(D37:H37)</f>
        <v>1616572701.1040063</v>
      </c>
    </row>
    <row r="38" spans="2:9" x14ac:dyDescent="0.45">
      <c r="D38" s="21"/>
      <c r="E38" s="21"/>
      <c r="F38" s="21"/>
      <c r="G38" s="21"/>
      <c r="H38" s="21"/>
      <c r="I38" s="73"/>
    </row>
    <row r="39" spans="2:9" x14ac:dyDescent="0.45">
      <c r="B39" s="2" t="s">
        <v>29</v>
      </c>
      <c r="D39" s="73">
        <f>+D35-D37</f>
        <v>233895078.03530484</v>
      </c>
      <c r="E39" s="73">
        <f t="shared" ref="E39:H39" si="2">+E35-E37</f>
        <v>1069546821.565708</v>
      </c>
      <c r="F39" s="73">
        <f t="shared" si="2"/>
        <v>1076560636.3872919</v>
      </c>
      <c r="G39" s="73">
        <f t="shared" si="2"/>
        <v>1151366220.78195</v>
      </c>
      <c r="H39" s="73">
        <f t="shared" si="2"/>
        <v>1165278209.8972814</v>
      </c>
      <c r="I39" s="57">
        <f>+I35-I37</f>
        <v>4699641566.6675377</v>
      </c>
    </row>
    <row r="40" spans="2:9" x14ac:dyDescent="0.45">
      <c r="I40" s="1" t="s">
        <v>2</v>
      </c>
    </row>
    <row r="43" spans="2:9" ht="16.5" thickBot="1" x14ac:dyDescent="0.5">
      <c r="B43" s="31"/>
      <c r="C43" s="30"/>
      <c r="D43" s="30"/>
      <c r="E43" s="30"/>
      <c r="F43" s="89">
        <v>5.0000000000000001E-4</v>
      </c>
      <c r="G43" s="30"/>
    </row>
    <row r="44" spans="2:9" ht="35" customHeight="1" thickBot="1" x14ac:dyDescent="0.5">
      <c r="B44" s="92" t="s">
        <v>67</v>
      </c>
      <c r="C44" s="93" t="s">
        <v>92</v>
      </c>
      <c r="D44" s="94" t="s">
        <v>93</v>
      </c>
      <c r="E44" s="95" t="s">
        <v>94</v>
      </c>
      <c r="F44" s="15" t="s">
        <v>21</v>
      </c>
      <c r="G44" s="2"/>
      <c r="H44" s="1"/>
    </row>
    <row r="45" spans="2:9" x14ac:dyDescent="0.45">
      <c r="B45" s="86" t="s">
        <v>23</v>
      </c>
      <c r="C45" s="87">
        <v>256357122033.53</v>
      </c>
      <c r="D45" s="88">
        <v>200500000</v>
      </c>
      <c r="E45" s="88">
        <f>+C45*$C$10</f>
        <v>128178561.016765</v>
      </c>
      <c r="F45" s="88">
        <f t="shared" ref="F45:F56" si="3">+E45/12</f>
        <v>10681546.751397083</v>
      </c>
      <c r="G45" s="88"/>
      <c r="H45" s="1"/>
    </row>
    <row r="46" spans="2:9" x14ac:dyDescent="0.45">
      <c r="B46" s="86" t="s">
        <v>43</v>
      </c>
      <c r="C46" s="87">
        <v>545609732645.38</v>
      </c>
      <c r="D46" s="88">
        <v>550500000</v>
      </c>
      <c r="E46" s="88">
        <f t="shared" ref="E46:E56" si="4">+C46*$C$10</f>
        <v>272804866.32269001</v>
      </c>
      <c r="F46" s="88">
        <f t="shared" si="3"/>
        <v>22733738.860224169</v>
      </c>
      <c r="G46" s="2"/>
      <c r="H46" s="1"/>
    </row>
    <row r="47" spans="2:9" x14ac:dyDescent="0.45">
      <c r="B47" s="86" t="s">
        <v>38</v>
      </c>
      <c r="C47" s="87">
        <v>615544420416.05994</v>
      </c>
      <c r="D47" s="88">
        <v>550500000</v>
      </c>
      <c r="E47" s="88">
        <f t="shared" si="4"/>
        <v>307772210.20802999</v>
      </c>
      <c r="F47" s="88">
        <f t="shared" si="3"/>
        <v>25647684.1840025</v>
      </c>
      <c r="G47" s="2"/>
      <c r="H47" s="1"/>
    </row>
    <row r="48" spans="2:9" x14ac:dyDescent="0.45">
      <c r="B48" s="86" t="s">
        <v>39</v>
      </c>
      <c r="C48" s="87">
        <v>63780912015.479996</v>
      </c>
      <c r="D48" s="88">
        <v>100500000</v>
      </c>
      <c r="E48" s="88">
        <f t="shared" si="4"/>
        <v>31890456.007739998</v>
      </c>
      <c r="F48" s="88">
        <f t="shared" si="3"/>
        <v>2657538.000645</v>
      </c>
      <c r="G48" s="2"/>
      <c r="H48" s="1"/>
    </row>
    <row r="49" spans="2:8" x14ac:dyDescent="0.45">
      <c r="B49" s="86" t="s">
        <v>44</v>
      </c>
      <c r="C49" s="87">
        <v>182773614419.09998</v>
      </c>
      <c r="D49" s="88">
        <v>100500000</v>
      </c>
      <c r="E49" s="88">
        <f t="shared" si="4"/>
        <v>91386807.209549993</v>
      </c>
      <c r="F49" s="88">
        <f t="shared" si="3"/>
        <v>7615567.2674624994</v>
      </c>
      <c r="G49" s="2"/>
      <c r="H49" s="1"/>
    </row>
    <row r="50" spans="2:8" x14ac:dyDescent="0.45">
      <c r="B50" s="86" t="s">
        <v>40</v>
      </c>
      <c r="C50" s="87">
        <v>9029527128.6200008</v>
      </c>
      <c r="D50" s="88">
        <v>22500000</v>
      </c>
      <c r="E50" s="88">
        <f t="shared" si="4"/>
        <v>4514763.5643100003</v>
      </c>
      <c r="F50" s="88">
        <f t="shared" si="3"/>
        <v>376230.29702583334</v>
      </c>
      <c r="G50" s="2"/>
      <c r="H50" s="1"/>
    </row>
    <row r="51" spans="2:8" x14ac:dyDescent="0.45">
      <c r="B51" s="86" t="s">
        <v>47</v>
      </c>
      <c r="C51" s="87">
        <v>35857778822.570007</v>
      </c>
      <c r="D51" s="88">
        <v>50500000</v>
      </c>
      <c r="E51" s="88">
        <f t="shared" si="4"/>
        <v>17928889.411285006</v>
      </c>
      <c r="F51" s="88">
        <f t="shared" si="3"/>
        <v>1494074.1176070839</v>
      </c>
      <c r="G51" s="2"/>
      <c r="H51" s="1"/>
    </row>
    <row r="52" spans="2:8" x14ac:dyDescent="0.45">
      <c r="B52" s="86" t="s">
        <v>48</v>
      </c>
      <c r="C52" s="87">
        <v>104717543623.33</v>
      </c>
      <c r="D52" s="88">
        <v>100500000</v>
      </c>
      <c r="E52" s="88">
        <f t="shared" si="4"/>
        <v>52358771.811664999</v>
      </c>
      <c r="F52" s="88">
        <f t="shared" si="3"/>
        <v>4363230.9843054162</v>
      </c>
      <c r="G52" s="2"/>
      <c r="H52" s="1"/>
    </row>
    <row r="53" spans="2:8" x14ac:dyDescent="0.45">
      <c r="B53" s="86" t="s">
        <v>49</v>
      </c>
      <c r="C53" s="87">
        <v>823325145595.22998</v>
      </c>
      <c r="D53" s="88">
        <v>550500000</v>
      </c>
      <c r="E53" s="88">
        <f t="shared" si="4"/>
        <v>411662572.79761499</v>
      </c>
      <c r="F53" s="88">
        <f t="shared" si="3"/>
        <v>34305214.399801247</v>
      </c>
      <c r="G53" s="2"/>
      <c r="H53" s="1"/>
    </row>
    <row r="54" spans="2:8" x14ac:dyDescent="0.45">
      <c r="B54" s="86" t="s">
        <v>35</v>
      </c>
      <c r="C54" s="87">
        <v>691381016709.65002</v>
      </c>
      <c r="D54" s="88">
        <v>550500000</v>
      </c>
      <c r="E54" s="88">
        <f t="shared" si="4"/>
        <v>345690508.35482502</v>
      </c>
      <c r="F54" s="88">
        <f t="shared" si="3"/>
        <v>28807542.362902086</v>
      </c>
      <c r="G54" s="2"/>
      <c r="H54" s="1"/>
    </row>
    <row r="55" spans="2:8" x14ac:dyDescent="0.45">
      <c r="B55" s="86" t="s">
        <v>37</v>
      </c>
      <c r="C55" s="87">
        <v>26207488878.700001</v>
      </c>
      <c r="D55" s="88">
        <v>36500000</v>
      </c>
      <c r="E55" s="88">
        <f t="shared" si="4"/>
        <v>13103744.439350002</v>
      </c>
      <c r="F55" s="88">
        <f t="shared" si="3"/>
        <v>1091978.7032791667</v>
      </c>
      <c r="G55" s="2"/>
      <c r="H55" s="1"/>
    </row>
    <row r="56" spans="2:8" ht="16.5" thickBot="1" x14ac:dyDescent="0.5">
      <c r="B56" s="86" t="s">
        <v>52</v>
      </c>
      <c r="C56" s="87">
        <v>0</v>
      </c>
      <c r="D56" s="88">
        <v>9500000</v>
      </c>
      <c r="E56" s="88">
        <f t="shared" si="4"/>
        <v>0</v>
      </c>
      <c r="F56" s="88">
        <f t="shared" si="3"/>
        <v>0</v>
      </c>
      <c r="G56" s="2"/>
      <c r="H56" s="1"/>
    </row>
    <row r="57" spans="2:8" ht="16.5" thickBot="1" x14ac:dyDescent="0.5">
      <c r="B57" s="41" t="s">
        <v>18</v>
      </c>
      <c r="C57" s="42">
        <f>SUM(C45:C56)</f>
        <v>3354584302287.6499</v>
      </c>
      <c r="D57" s="42">
        <f>SUM(D45:D56)</f>
        <v>2823000000</v>
      </c>
      <c r="E57" s="42">
        <f>SUM(E45:E56)</f>
        <v>1677292151.1438251</v>
      </c>
      <c r="F57" s="43">
        <f>SUM(F45:F56)</f>
        <v>139774345.92865208</v>
      </c>
      <c r="G57" s="2"/>
      <c r="H57" s="1"/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B889F3-2554-42C0-A9C5-7EC1D0D87FDD}">
  <dimension ref="A1:P40"/>
  <sheetViews>
    <sheetView topLeftCell="A7" workbookViewId="0">
      <selection activeCell="H29" sqref="H29"/>
    </sheetView>
  </sheetViews>
  <sheetFormatPr baseColWidth="10" defaultColWidth="11.453125" defaultRowHeight="16" x14ac:dyDescent="0.45"/>
  <cols>
    <col min="1" max="1" width="32.7265625" style="1" bestFit="1" customWidth="1"/>
    <col min="2" max="2" width="19.1796875" style="1" bestFit="1" customWidth="1"/>
    <col min="3" max="3" width="19" style="1" customWidth="1"/>
    <col min="4" max="6" width="19.1796875" style="1" bestFit="1" customWidth="1"/>
    <col min="7" max="7" width="19.1796875" style="2" bestFit="1" customWidth="1"/>
    <col min="8" max="8" width="15.54296875" style="1" bestFit="1" customWidth="1"/>
    <col min="9" max="9" width="27.1796875" style="1" bestFit="1" customWidth="1"/>
    <col min="10" max="10" width="2.453125" style="1" customWidth="1"/>
    <col min="11" max="11" width="15.26953125" style="1" bestFit="1" customWidth="1"/>
    <col min="12" max="15" width="16.7265625" style="1" bestFit="1" customWidth="1"/>
    <col min="16" max="16" width="14.453125" style="1" bestFit="1" customWidth="1"/>
    <col min="17" max="18" width="16.54296875" style="1" bestFit="1" customWidth="1"/>
    <col min="19" max="16384" width="11.453125" style="1"/>
  </cols>
  <sheetData>
    <row r="1" spans="1:16" x14ac:dyDescent="0.45">
      <c r="P1" s="2"/>
    </row>
    <row r="2" spans="1:16" x14ac:dyDescent="0.45">
      <c r="P2" s="2"/>
    </row>
    <row r="3" spans="1:16" x14ac:dyDescent="0.45">
      <c r="P3" s="2"/>
    </row>
    <row r="4" spans="1:16" x14ac:dyDescent="0.45">
      <c r="P4" s="2"/>
    </row>
    <row r="7" spans="1:16" s="75" customFormat="1" x14ac:dyDescent="0.35">
      <c r="A7" s="74" t="s">
        <v>22</v>
      </c>
    </row>
    <row r="8" spans="1:16" x14ac:dyDescent="0.45">
      <c r="B8" s="20">
        <v>2019</v>
      </c>
      <c r="C8" s="20">
        <v>2020</v>
      </c>
      <c r="D8" s="20">
        <v>2021</v>
      </c>
      <c r="E8" s="20">
        <v>2022</v>
      </c>
      <c r="F8" s="20">
        <v>2023</v>
      </c>
      <c r="G8" s="20">
        <v>2024</v>
      </c>
    </row>
    <row r="9" spans="1:16" x14ac:dyDescent="0.45">
      <c r="A9" s="1" t="s">
        <v>80</v>
      </c>
      <c r="B9" s="26">
        <f>+'Cédula Cartera Crédito CAC´s'!J4</f>
        <v>1143816903083.8699</v>
      </c>
      <c r="C9" s="26">
        <f>+B9*(1+$B$13)</f>
        <v>1166693241145.5474</v>
      </c>
      <c r="D9" s="26">
        <f>+'Cédula Cartera Crédito CAC´s'!J5*(1+'Modelo Ingresos-Gastos (130)'!B13)</f>
        <v>2338832572179.9565</v>
      </c>
      <c r="E9" s="26">
        <f>+D9*(1+B13)</f>
        <v>2385609223623.5557</v>
      </c>
      <c r="F9" s="26">
        <f>+'Cédula Cartera Crédito CAC´s'!J7*(1+'Modelo Ingresos-Gastos (130)'!B13)</f>
        <v>2527716340011.0327</v>
      </c>
      <c r="G9" s="26">
        <f>+F9*(1+B13)</f>
        <v>2578270666811.2534</v>
      </c>
    </row>
    <row r="10" spans="1:16" x14ac:dyDescent="0.45">
      <c r="A10" s="1" t="s">
        <v>26</v>
      </c>
      <c r="B10" s="55">
        <v>5.0000000000000001E-4</v>
      </c>
      <c r="G10" s="1"/>
    </row>
    <row r="11" spans="1:16" x14ac:dyDescent="0.45">
      <c r="A11" s="22" t="s">
        <v>30</v>
      </c>
      <c r="B11" s="56">
        <v>8.8400000000000006E-2</v>
      </c>
      <c r="C11" s="76" t="s">
        <v>28</v>
      </c>
      <c r="G11" s="1"/>
    </row>
    <row r="12" spans="1:16" x14ac:dyDescent="0.45">
      <c r="A12" s="1" t="s">
        <v>57</v>
      </c>
      <c r="B12" s="56">
        <v>5.5E-2</v>
      </c>
      <c r="C12" s="76" t="s">
        <v>68</v>
      </c>
      <c r="G12" s="1"/>
    </row>
    <row r="13" spans="1:16" x14ac:dyDescent="0.45">
      <c r="A13" s="1" t="s">
        <v>74</v>
      </c>
      <c r="B13" s="56">
        <v>0.02</v>
      </c>
      <c r="D13" s="25"/>
      <c r="G13" s="1"/>
    </row>
    <row r="14" spans="1:16" x14ac:dyDescent="0.45">
      <c r="A14" s="1" t="s">
        <v>69</v>
      </c>
      <c r="B14" s="56">
        <v>2.0000000000000001E-4</v>
      </c>
      <c r="D14" s="25"/>
      <c r="G14" s="1"/>
    </row>
    <row r="15" spans="1:16" x14ac:dyDescent="0.45">
      <c r="A15" s="1" t="s">
        <v>63</v>
      </c>
      <c r="B15" s="78">
        <v>285110351.81</v>
      </c>
      <c r="G15" s="1"/>
    </row>
    <row r="16" spans="1:16" x14ac:dyDescent="0.45">
      <c r="G16" s="1"/>
    </row>
    <row r="17" spans="1:8" x14ac:dyDescent="0.45">
      <c r="A17" s="1" t="s">
        <v>3</v>
      </c>
      <c r="B17" s="24">
        <v>0.1</v>
      </c>
      <c r="G17" s="1"/>
    </row>
    <row r="18" spans="1:8" x14ac:dyDescent="0.45">
      <c r="A18" s="1" t="s">
        <v>4</v>
      </c>
      <c r="B18" s="24">
        <v>0.05</v>
      </c>
      <c r="C18" s="77"/>
      <c r="G18" s="1"/>
    </row>
    <row r="19" spans="1:8" x14ac:dyDescent="0.45">
      <c r="A19" s="1" t="s">
        <v>64</v>
      </c>
      <c r="B19" s="24">
        <v>0.03</v>
      </c>
      <c r="G19" s="1"/>
    </row>
    <row r="23" spans="1:8" x14ac:dyDescent="0.45">
      <c r="G23" s="72" t="s">
        <v>2</v>
      </c>
    </row>
    <row r="25" spans="1:8" x14ac:dyDescent="0.45">
      <c r="C25" s="20">
        <v>2020</v>
      </c>
      <c r="D25" s="20">
        <v>2021</v>
      </c>
      <c r="E25" s="20">
        <v>2022</v>
      </c>
      <c r="F25" s="20">
        <v>2023</v>
      </c>
      <c r="G25" s="20">
        <v>2024</v>
      </c>
      <c r="H25" s="20"/>
    </row>
    <row r="26" spans="1:8" x14ac:dyDescent="0.45">
      <c r="A26" s="2" t="s">
        <v>66</v>
      </c>
      <c r="C26" s="45">
        <f>+'Cédula de captaciones CAC´s'!J42</f>
        <v>2823000000</v>
      </c>
      <c r="D26" s="45">
        <f>+C26</f>
        <v>2823000000</v>
      </c>
      <c r="E26" s="45">
        <f>+C26</f>
        <v>2823000000</v>
      </c>
      <c r="F26" s="45">
        <f>+'Cédula Cartera Crédito CAC´s'!D26+'Cédula Cartera Crédito CAC´s'!E26</f>
        <v>3498000000</v>
      </c>
      <c r="G26" s="54">
        <f>+F26</f>
        <v>3498000000</v>
      </c>
      <c r="H26" s="71"/>
    </row>
    <row r="27" spans="1:8" x14ac:dyDescent="0.45">
      <c r="C27" s="20"/>
      <c r="D27" s="20"/>
      <c r="E27" s="20"/>
      <c r="F27" s="20"/>
      <c r="G27" s="20"/>
      <c r="H27" s="2"/>
    </row>
    <row r="28" spans="1:8" x14ac:dyDescent="0.45">
      <c r="A28" s="2" t="s">
        <v>15</v>
      </c>
      <c r="G28" s="1"/>
      <c r="H28" s="20" t="s">
        <v>91</v>
      </c>
    </row>
    <row r="29" spans="1:8" x14ac:dyDescent="0.45">
      <c r="A29" s="1" t="s">
        <v>6</v>
      </c>
      <c r="C29" s="23">
        <f>+(C9/2)*B10</f>
        <v>291673310.28638685</v>
      </c>
      <c r="D29" s="23">
        <f>+D9*B10</f>
        <v>1169416286.0899782</v>
      </c>
      <c r="E29" s="23">
        <f>+E9*B10</f>
        <v>1192804611.8117778</v>
      </c>
      <c r="F29" s="23">
        <f>+F9*B10</f>
        <v>1263858170.0055163</v>
      </c>
      <c r="G29" s="23">
        <f>+G9*B10</f>
        <v>1289135333.4056268</v>
      </c>
      <c r="H29" s="73">
        <f>SUM(C29:G29)</f>
        <v>5206887711.5992851</v>
      </c>
    </row>
    <row r="30" spans="1:8" x14ac:dyDescent="0.45">
      <c r="A30" s="1" t="s">
        <v>55</v>
      </c>
      <c r="C30" s="23">
        <f>+C29*B12</f>
        <v>16042032.065751277</v>
      </c>
      <c r="D30" s="23">
        <f>+D29*$B$11</f>
        <v>103376399.69035408</v>
      </c>
      <c r="E30" s="23">
        <f>+E29*$B$11</f>
        <v>105443927.68416117</v>
      </c>
      <c r="F30" s="23">
        <f>+F29*$B$11</f>
        <v>111725062.22848766</v>
      </c>
      <c r="G30" s="23">
        <f>+G29*$B$11</f>
        <v>113959563.47305742</v>
      </c>
      <c r="H30" s="73">
        <f t="shared" ref="H30:H31" si="0">SUM(C30:G30)</f>
        <v>450546985.14181161</v>
      </c>
    </row>
    <row r="31" spans="1:8" x14ac:dyDescent="0.45">
      <c r="A31" s="1" t="s">
        <v>56</v>
      </c>
      <c r="C31" s="23">
        <f>+C26*$B$11</f>
        <v>249553200.00000003</v>
      </c>
      <c r="D31" s="23">
        <f>+D26*$B$11</f>
        <v>249553200.00000003</v>
      </c>
      <c r="E31" s="23">
        <f>+E26*$B$11</f>
        <v>249553200.00000003</v>
      </c>
      <c r="F31" s="23">
        <f>+F26*$B$11</f>
        <v>309223200</v>
      </c>
      <c r="G31" s="23">
        <f>+G26*$B$11</f>
        <v>309223200</v>
      </c>
      <c r="H31" s="73">
        <f t="shared" si="0"/>
        <v>1367106000</v>
      </c>
    </row>
    <row r="32" spans="1:8" x14ac:dyDescent="0.45">
      <c r="C32" s="23"/>
      <c r="D32" s="23"/>
      <c r="E32" s="23"/>
      <c r="F32" s="23"/>
      <c r="G32" s="23"/>
      <c r="H32" s="73"/>
    </row>
    <row r="33" spans="1:8" x14ac:dyDescent="0.45">
      <c r="A33" s="2" t="s">
        <v>16</v>
      </c>
      <c r="C33" s="57">
        <f>SUM(C29:C31)-C34</f>
        <v>556703942.35213816</v>
      </c>
      <c r="D33" s="57">
        <f>SUM(D29:D31)-D34</f>
        <v>1521781285.7803323</v>
      </c>
      <c r="E33" s="57">
        <f>SUM(E29:E31)-E34</f>
        <v>1547237139.495939</v>
      </c>
      <c r="F33" s="57">
        <f>SUM(F29:F31)-F34</f>
        <v>1684106832.234004</v>
      </c>
      <c r="G33" s="57">
        <f>SUM(G29:G31)-G34</f>
        <v>1711618496.8786843</v>
      </c>
      <c r="H33" s="73">
        <f>SUM(H29:H31)</f>
        <v>7024540696.7410965</v>
      </c>
    </row>
    <row r="34" spans="1:8" x14ac:dyDescent="0.45">
      <c r="A34" s="1" t="s">
        <v>70</v>
      </c>
      <c r="C34" s="21">
        <f>+C26*$B$14</f>
        <v>564600</v>
      </c>
      <c r="D34" s="21">
        <f>+D26*$B$14</f>
        <v>564600</v>
      </c>
      <c r="E34" s="21">
        <f>+E26*$B$14</f>
        <v>564600</v>
      </c>
      <c r="F34" s="21">
        <f>+F26*$B$14</f>
        <v>699600</v>
      </c>
      <c r="G34" s="21">
        <f>+G26*$B$14</f>
        <v>699600</v>
      </c>
      <c r="H34" s="73">
        <f>SUM(C34:G34)</f>
        <v>3093000</v>
      </c>
    </row>
    <row r="35" spans="1:8" x14ac:dyDescent="0.45">
      <c r="A35" s="2" t="s">
        <v>71</v>
      </c>
      <c r="C35" s="57">
        <f t="shared" ref="C35:H35" si="1">+C33-C34</f>
        <v>556139342.35213816</v>
      </c>
      <c r="D35" s="57">
        <f t="shared" si="1"/>
        <v>1521216685.7803323</v>
      </c>
      <c r="E35" s="57">
        <f t="shared" si="1"/>
        <v>1546672539.495939</v>
      </c>
      <c r="F35" s="57">
        <f t="shared" si="1"/>
        <v>1683407232.234004</v>
      </c>
      <c r="G35" s="57">
        <f t="shared" si="1"/>
        <v>1710918896.8786843</v>
      </c>
      <c r="H35" s="73">
        <f t="shared" si="1"/>
        <v>7021447696.7410965</v>
      </c>
    </row>
    <row r="36" spans="1:8" x14ac:dyDescent="0.45">
      <c r="C36" s="23" t="s">
        <v>2</v>
      </c>
      <c r="D36" s="23" t="s">
        <v>2</v>
      </c>
      <c r="E36" s="23"/>
      <c r="F36" s="23"/>
      <c r="G36" s="23"/>
      <c r="H36" s="2"/>
    </row>
    <row r="37" spans="1:8" x14ac:dyDescent="0.45">
      <c r="A37" s="2" t="s">
        <v>1</v>
      </c>
      <c r="C37" s="21">
        <f>+B15</f>
        <v>285110351.81</v>
      </c>
      <c r="D37" s="21">
        <f>+C37*(1+B17)</f>
        <v>313621386.99100006</v>
      </c>
      <c r="E37" s="21">
        <f>+D37*(1+B18)</f>
        <v>329302456.34055007</v>
      </c>
      <c r="F37" s="21">
        <f>+E37*(1+$B$19)</f>
        <v>339181530.03076655</v>
      </c>
      <c r="G37" s="21">
        <f>+F37*(1+$B$19)</f>
        <v>349356975.93168956</v>
      </c>
      <c r="H37" s="73">
        <f>SUM(C37:G37)</f>
        <v>1616572701.1040063</v>
      </c>
    </row>
    <row r="38" spans="1:8" x14ac:dyDescent="0.45">
      <c r="C38" s="21"/>
      <c r="D38" s="21"/>
      <c r="E38" s="21"/>
      <c r="F38" s="21"/>
      <c r="G38" s="21"/>
      <c r="H38" s="73"/>
    </row>
    <row r="39" spans="1:8" s="2" customFormat="1" x14ac:dyDescent="0.45">
      <c r="A39" s="2" t="s">
        <v>29</v>
      </c>
      <c r="C39" s="73">
        <f>+C35-C37</f>
        <v>271028990.54213816</v>
      </c>
      <c r="D39" s="73">
        <f t="shared" ref="D39:H39" si="2">+D35-D37</f>
        <v>1207595298.7893324</v>
      </c>
      <c r="E39" s="73">
        <f t="shared" si="2"/>
        <v>1217370083.1553888</v>
      </c>
      <c r="F39" s="73">
        <f t="shared" si="2"/>
        <v>1344225702.2032375</v>
      </c>
      <c r="G39" s="73">
        <f t="shared" si="2"/>
        <v>1361561920.9469948</v>
      </c>
      <c r="H39" s="73">
        <f t="shared" si="2"/>
        <v>5404874995.6370907</v>
      </c>
    </row>
    <row r="40" spans="1:8" x14ac:dyDescent="0.45">
      <c r="H40" s="1" t="s">
        <v>2</v>
      </c>
    </row>
  </sheetData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9A6C6C-0C86-4AF8-A49F-26DBA06E2B20}">
  <dimension ref="A1:P40"/>
  <sheetViews>
    <sheetView topLeftCell="A10" workbookViewId="0">
      <selection activeCell="H29" sqref="H29"/>
    </sheetView>
  </sheetViews>
  <sheetFormatPr baseColWidth="10" defaultColWidth="11.453125" defaultRowHeight="16" x14ac:dyDescent="0.45"/>
  <cols>
    <col min="1" max="1" width="32.7265625" style="1" bestFit="1" customWidth="1"/>
    <col min="2" max="2" width="19.1796875" style="1" bestFit="1" customWidth="1"/>
    <col min="3" max="3" width="19" style="1" customWidth="1"/>
    <col min="4" max="6" width="19.1796875" style="1" bestFit="1" customWidth="1"/>
    <col min="7" max="7" width="19.1796875" style="2" bestFit="1" customWidth="1"/>
    <col min="8" max="8" width="15.54296875" style="1" bestFit="1" customWidth="1"/>
    <col min="9" max="9" width="27.1796875" style="1" bestFit="1" customWidth="1"/>
    <col min="10" max="10" width="2.453125" style="1" customWidth="1"/>
    <col min="11" max="11" width="15.26953125" style="1" bestFit="1" customWidth="1"/>
    <col min="12" max="15" width="16.7265625" style="1" bestFit="1" customWidth="1"/>
    <col min="16" max="16" width="14.453125" style="1" bestFit="1" customWidth="1"/>
    <col min="17" max="18" width="16.54296875" style="1" bestFit="1" customWidth="1"/>
    <col min="19" max="16384" width="11.453125" style="1"/>
  </cols>
  <sheetData>
    <row r="1" spans="1:16" x14ac:dyDescent="0.45">
      <c r="P1" s="2"/>
    </row>
    <row r="2" spans="1:16" x14ac:dyDescent="0.45">
      <c r="P2" s="2"/>
    </row>
    <row r="3" spans="1:16" x14ac:dyDescent="0.45">
      <c r="P3" s="2"/>
    </row>
    <row r="4" spans="1:16" x14ac:dyDescent="0.45">
      <c r="P4" s="2"/>
    </row>
    <row r="7" spans="1:16" s="75" customFormat="1" x14ac:dyDescent="0.35">
      <c r="A7" s="74" t="s">
        <v>22</v>
      </c>
    </row>
    <row r="8" spans="1:16" x14ac:dyDescent="0.45">
      <c r="B8" s="20">
        <v>2019</v>
      </c>
      <c r="C8" s="20">
        <v>2020</v>
      </c>
      <c r="D8" s="20">
        <v>2021</v>
      </c>
      <c r="E8" s="20">
        <v>2022</v>
      </c>
      <c r="F8" s="20">
        <v>2023</v>
      </c>
      <c r="G8" s="20">
        <v>2024</v>
      </c>
    </row>
    <row r="9" spans="1:16" x14ac:dyDescent="0.45">
      <c r="A9" s="1" t="s">
        <v>7</v>
      </c>
      <c r="B9" s="26">
        <f>+'Cédula Act-Productivo CAC´s'!L4</f>
        <v>1577328223648.53</v>
      </c>
      <c r="C9" s="26">
        <f>+B9*(1+$B$13)</f>
        <v>1608874788121.5007</v>
      </c>
      <c r="D9" s="26">
        <f>+'Cédula Act-Productivo CAC´s'!L5*(1+'Modelo Ingresos-Gasto (120+130)'!B13)</f>
        <v>3233866273740.0845</v>
      </c>
      <c r="E9" s="26">
        <f>+D9*(1+$B$13)</f>
        <v>3298543599214.8862</v>
      </c>
      <c r="F9" s="26">
        <f>+'Cédula Act-Productivo CAC´s'!L7*(1+'Modelo Ingresos-Gasto (120+130)'!B13)</f>
        <v>3476906997390.3232</v>
      </c>
      <c r="G9" s="26">
        <f>+F9*(1+$B$13)</f>
        <v>3546445137338.1299</v>
      </c>
    </row>
    <row r="10" spans="1:16" x14ac:dyDescent="0.45">
      <c r="A10" s="1" t="s">
        <v>26</v>
      </c>
      <c r="B10" s="55">
        <v>5.0000000000000001E-4</v>
      </c>
      <c r="G10" s="1"/>
    </row>
    <row r="11" spans="1:16" x14ac:dyDescent="0.45">
      <c r="A11" s="22" t="s">
        <v>30</v>
      </c>
      <c r="B11" s="56">
        <v>8.8400000000000006E-2</v>
      </c>
      <c r="C11" s="76" t="s">
        <v>28</v>
      </c>
      <c r="G11" s="1"/>
    </row>
    <row r="12" spans="1:16" x14ac:dyDescent="0.45">
      <c r="A12" s="1" t="s">
        <v>57</v>
      </c>
      <c r="B12" s="56">
        <v>5.5E-2</v>
      </c>
      <c r="C12" s="76" t="s">
        <v>68</v>
      </c>
      <c r="G12" s="1"/>
    </row>
    <row r="13" spans="1:16" x14ac:dyDescent="0.45">
      <c r="A13" s="1" t="s">
        <v>85</v>
      </c>
      <c r="B13" s="56">
        <v>0.02</v>
      </c>
      <c r="D13" s="25"/>
      <c r="G13" s="1"/>
    </row>
    <row r="14" spans="1:16" x14ac:dyDescent="0.45">
      <c r="A14" s="1" t="s">
        <v>69</v>
      </c>
      <c r="B14" s="56">
        <v>2.0000000000000001E-4</v>
      </c>
      <c r="D14" s="25"/>
      <c r="G14" s="1"/>
    </row>
    <row r="15" spans="1:16" x14ac:dyDescent="0.45">
      <c r="A15" s="1" t="s">
        <v>63</v>
      </c>
      <c r="B15" s="78">
        <v>285110351.81</v>
      </c>
      <c r="G15" s="1"/>
    </row>
    <row r="16" spans="1:16" x14ac:dyDescent="0.45">
      <c r="G16" s="1"/>
    </row>
    <row r="17" spans="1:8" x14ac:dyDescent="0.45">
      <c r="A17" s="1" t="s">
        <v>3</v>
      </c>
      <c r="B17" s="24">
        <v>0.1</v>
      </c>
      <c r="G17" s="1"/>
    </row>
    <row r="18" spans="1:8" x14ac:dyDescent="0.45">
      <c r="A18" s="1" t="s">
        <v>4</v>
      </c>
      <c r="B18" s="24">
        <v>0.05</v>
      </c>
      <c r="C18" s="77"/>
      <c r="G18" s="1"/>
    </row>
    <row r="19" spans="1:8" x14ac:dyDescent="0.45">
      <c r="A19" s="1" t="s">
        <v>64</v>
      </c>
      <c r="B19" s="24">
        <v>0.03</v>
      </c>
      <c r="G19" s="1"/>
    </row>
    <row r="23" spans="1:8" x14ac:dyDescent="0.45">
      <c r="G23" s="72" t="s">
        <v>2</v>
      </c>
    </row>
    <row r="25" spans="1:8" x14ac:dyDescent="0.45">
      <c r="C25" s="20">
        <v>2020</v>
      </c>
      <c r="D25" s="20">
        <v>2021</v>
      </c>
      <c r="E25" s="20">
        <v>2022</v>
      </c>
      <c r="F25" s="20">
        <v>2023</v>
      </c>
      <c r="G25" s="20">
        <v>2024</v>
      </c>
      <c r="H25" s="20"/>
    </row>
    <row r="26" spans="1:8" x14ac:dyDescent="0.45">
      <c r="A26" s="2" t="s">
        <v>66</v>
      </c>
      <c r="C26" s="45">
        <f>+'Cédula de captaciones CAC´s'!J42</f>
        <v>2823000000</v>
      </c>
      <c r="D26" s="45">
        <f>+C26</f>
        <v>2823000000</v>
      </c>
      <c r="E26" s="45">
        <f>+C26</f>
        <v>2823000000</v>
      </c>
      <c r="F26" s="45">
        <f>+'Cédula Act-Productivo CAC´s'!F26+'Cédula Act-Productivo CAC´s'!G26</f>
        <v>3589000000</v>
      </c>
      <c r="G26" s="54">
        <f>+F26</f>
        <v>3589000000</v>
      </c>
      <c r="H26" s="71"/>
    </row>
    <row r="27" spans="1:8" x14ac:dyDescent="0.45">
      <c r="C27" s="20"/>
      <c r="D27" s="20"/>
      <c r="E27" s="20"/>
      <c r="F27" s="20"/>
      <c r="G27" s="20"/>
      <c r="H27" s="2"/>
    </row>
    <row r="28" spans="1:8" x14ac:dyDescent="0.45">
      <c r="A28" s="2" t="s">
        <v>15</v>
      </c>
      <c r="G28" s="1"/>
      <c r="H28" s="20" t="s">
        <v>91</v>
      </c>
    </row>
    <row r="29" spans="1:8" x14ac:dyDescent="0.45">
      <c r="A29" s="1" t="s">
        <v>6</v>
      </c>
      <c r="C29" s="23">
        <f>+(C9/2)*B10</f>
        <v>402218697.03037518</v>
      </c>
      <c r="D29" s="23">
        <f>+D9*B10</f>
        <v>1616933136.8700423</v>
      </c>
      <c r="E29" s="23">
        <f>+E9*B10</f>
        <v>1649271799.6074431</v>
      </c>
      <c r="F29" s="23">
        <f>+F9*B10</f>
        <v>1738453498.6951616</v>
      </c>
      <c r="G29" s="23">
        <f>+G9*B10</f>
        <v>1773222568.669065</v>
      </c>
      <c r="H29" s="73">
        <f>SUM(C29:G29)</f>
        <v>7180099700.8720875</v>
      </c>
    </row>
    <row r="30" spans="1:8" x14ac:dyDescent="0.45">
      <c r="A30" s="1" t="s">
        <v>55</v>
      </c>
      <c r="C30" s="23">
        <f>+C29*B12</f>
        <v>22122028.336670633</v>
      </c>
      <c r="D30" s="23">
        <f>+D29*$B$11</f>
        <v>142936889.29931176</v>
      </c>
      <c r="E30" s="23">
        <f>+E29*$B$11</f>
        <v>145795627.08529797</v>
      </c>
      <c r="F30" s="23">
        <f>+F29*$B$11</f>
        <v>153679289.28465229</v>
      </c>
      <c r="G30" s="23">
        <f>+G29*$B$11</f>
        <v>156752875.07034537</v>
      </c>
      <c r="H30" s="73">
        <f t="shared" ref="H30:H31" si="0">SUM(C30:G30)</f>
        <v>621286709.07627797</v>
      </c>
    </row>
    <row r="31" spans="1:8" x14ac:dyDescent="0.45">
      <c r="A31" s="1" t="s">
        <v>56</v>
      </c>
      <c r="C31" s="23">
        <f>+C26*$B$11</f>
        <v>249553200.00000003</v>
      </c>
      <c r="D31" s="23">
        <f>+D26*$B$11</f>
        <v>249553200.00000003</v>
      </c>
      <c r="E31" s="23">
        <f>+E26*$B$11</f>
        <v>249553200.00000003</v>
      </c>
      <c r="F31" s="23">
        <f>+F26*$B$11</f>
        <v>317267600</v>
      </c>
      <c r="G31" s="23">
        <f>+G26*$B$11</f>
        <v>317267600</v>
      </c>
      <c r="H31" s="73">
        <f t="shared" si="0"/>
        <v>1383194800</v>
      </c>
    </row>
    <row r="32" spans="1:8" x14ac:dyDescent="0.45">
      <c r="C32" s="23"/>
      <c r="D32" s="23"/>
      <c r="E32" s="23"/>
      <c r="F32" s="23"/>
      <c r="G32" s="23"/>
      <c r="H32" s="73"/>
    </row>
    <row r="33" spans="1:8" x14ac:dyDescent="0.45">
      <c r="A33" s="2" t="s">
        <v>16</v>
      </c>
      <c r="C33" s="57">
        <f>SUM(C29:C31)-C34</f>
        <v>673329325.36704588</v>
      </c>
      <c r="D33" s="57">
        <f>SUM(D29:D31)-D34</f>
        <v>2008858626.169354</v>
      </c>
      <c r="E33" s="57">
        <f>SUM(E29:E31)-E34</f>
        <v>2044056026.6927412</v>
      </c>
      <c r="F33" s="57">
        <f>SUM(F29:F31)-F34</f>
        <v>2208682587.9798136</v>
      </c>
      <c r="G33" s="57">
        <f>SUM(G29:G31)-G34</f>
        <v>2246525243.7394104</v>
      </c>
      <c r="H33" s="73">
        <f>SUM(H29:H31)</f>
        <v>9184581209.9483643</v>
      </c>
    </row>
    <row r="34" spans="1:8" x14ac:dyDescent="0.45">
      <c r="A34" s="1" t="s">
        <v>70</v>
      </c>
      <c r="C34" s="21">
        <f>+C26*$B$14</f>
        <v>564600</v>
      </c>
      <c r="D34" s="21">
        <f>+D26*$B$14</f>
        <v>564600</v>
      </c>
      <c r="E34" s="21">
        <f>+E26*$B$14</f>
        <v>564600</v>
      </c>
      <c r="F34" s="21">
        <f>+F26*$B$14</f>
        <v>717800</v>
      </c>
      <c r="G34" s="21">
        <f>+G26*$B$14</f>
        <v>717800</v>
      </c>
      <c r="H34" s="73">
        <f>SUM(C34:G34)</f>
        <v>3129400</v>
      </c>
    </row>
    <row r="35" spans="1:8" x14ac:dyDescent="0.45">
      <c r="A35" s="2" t="s">
        <v>71</v>
      </c>
      <c r="C35" s="57">
        <f t="shared" ref="C35:H35" si="1">+C33-C34</f>
        <v>672764725.36704588</v>
      </c>
      <c r="D35" s="57">
        <f t="shared" si="1"/>
        <v>2008294026.169354</v>
      </c>
      <c r="E35" s="57">
        <f t="shared" si="1"/>
        <v>2043491426.6927412</v>
      </c>
      <c r="F35" s="57">
        <f t="shared" si="1"/>
        <v>2207964787.9798136</v>
      </c>
      <c r="G35" s="57">
        <f t="shared" si="1"/>
        <v>2245807443.7394104</v>
      </c>
      <c r="H35" s="73">
        <f t="shared" si="1"/>
        <v>9181451809.9483643</v>
      </c>
    </row>
    <row r="36" spans="1:8" x14ac:dyDescent="0.45">
      <c r="C36" s="23" t="s">
        <v>2</v>
      </c>
      <c r="D36" s="23" t="s">
        <v>2</v>
      </c>
      <c r="E36" s="23"/>
      <c r="F36" s="23"/>
      <c r="G36" s="23"/>
      <c r="H36" s="2"/>
    </row>
    <row r="37" spans="1:8" x14ac:dyDescent="0.45">
      <c r="A37" s="2" t="s">
        <v>1</v>
      </c>
      <c r="C37" s="21">
        <f>+B15</f>
        <v>285110351.81</v>
      </c>
      <c r="D37" s="21">
        <f>+C37*(1+B17)</f>
        <v>313621386.99100006</v>
      </c>
      <c r="E37" s="21">
        <f>+D37*(1+B18)</f>
        <v>329302456.34055007</v>
      </c>
      <c r="F37" s="21">
        <f>+E37*(1+$B$19)</f>
        <v>339181530.03076655</v>
      </c>
      <c r="G37" s="21">
        <f>+F37*(1+$B$19)</f>
        <v>349356975.93168956</v>
      </c>
      <c r="H37" s="73">
        <f>SUM(C37:G37)</f>
        <v>1616572701.1040063</v>
      </c>
    </row>
    <row r="38" spans="1:8" x14ac:dyDescent="0.45">
      <c r="C38" s="21"/>
      <c r="D38" s="21"/>
      <c r="E38" s="21"/>
      <c r="F38" s="21"/>
      <c r="G38" s="21"/>
      <c r="H38" s="73"/>
    </row>
    <row r="39" spans="1:8" x14ac:dyDescent="0.45">
      <c r="A39" s="2" t="s">
        <v>29</v>
      </c>
      <c r="C39" s="73">
        <f>+C35-C37</f>
        <v>387654373.55704588</v>
      </c>
      <c r="D39" s="73">
        <f t="shared" ref="D39:H39" si="2">+D35-D37</f>
        <v>1694672639.1783538</v>
      </c>
      <c r="E39" s="73">
        <f t="shared" si="2"/>
        <v>1714188970.352191</v>
      </c>
      <c r="F39" s="73">
        <f t="shared" si="2"/>
        <v>1868783257.9490471</v>
      </c>
      <c r="G39" s="73">
        <f t="shared" si="2"/>
        <v>1896450467.8077209</v>
      </c>
      <c r="H39" s="73">
        <f t="shared" si="2"/>
        <v>7564879108.8443584</v>
      </c>
    </row>
    <row r="40" spans="1:8" x14ac:dyDescent="0.45">
      <c r="H40" s="1" t="s">
        <v>2</v>
      </c>
    </row>
  </sheetData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C962E-460E-4A7B-863F-7C3FEDA51AA8}">
  <dimension ref="A1:P40"/>
  <sheetViews>
    <sheetView topLeftCell="A7" workbookViewId="0">
      <selection activeCell="H29" sqref="H29"/>
    </sheetView>
  </sheetViews>
  <sheetFormatPr baseColWidth="10" defaultColWidth="11.453125" defaultRowHeight="16" x14ac:dyDescent="0.45"/>
  <cols>
    <col min="1" max="1" width="32.7265625" style="1" bestFit="1" customWidth="1"/>
    <col min="2" max="2" width="19.1796875" style="1" bestFit="1" customWidth="1"/>
    <col min="3" max="3" width="19" style="1" customWidth="1"/>
    <col min="4" max="6" width="19.1796875" style="1" bestFit="1" customWidth="1"/>
    <col min="7" max="7" width="19.1796875" style="2" bestFit="1" customWidth="1"/>
    <col min="8" max="8" width="15.54296875" style="1" bestFit="1" customWidth="1"/>
    <col min="9" max="9" width="27.1796875" style="1" bestFit="1" customWidth="1"/>
    <col min="10" max="10" width="2.453125" style="1" customWidth="1"/>
    <col min="11" max="11" width="15.26953125" style="1" bestFit="1" customWidth="1"/>
    <col min="12" max="15" width="16.7265625" style="1" bestFit="1" customWidth="1"/>
    <col min="16" max="16" width="14.453125" style="1" bestFit="1" customWidth="1"/>
    <col min="17" max="18" width="16.54296875" style="1" bestFit="1" customWidth="1"/>
    <col min="19" max="16384" width="11.453125" style="1"/>
  </cols>
  <sheetData>
    <row r="1" spans="1:16" x14ac:dyDescent="0.45">
      <c r="P1" s="2"/>
    </row>
    <row r="2" spans="1:16" x14ac:dyDescent="0.45">
      <c r="P2" s="2"/>
    </row>
    <row r="3" spans="1:16" x14ac:dyDescent="0.45">
      <c r="P3" s="2"/>
    </row>
    <row r="4" spans="1:16" x14ac:dyDescent="0.45">
      <c r="P4" s="2"/>
    </row>
    <row r="7" spans="1:16" s="75" customFormat="1" x14ac:dyDescent="0.35">
      <c r="A7" s="74" t="s">
        <v>22</v>
      </c>
    </row>
    <row r="8" spans="1:16" x14ac:dyDescent="0.45">
      <c r="B8" s="20">
        <v>2019</v>
      </c>
      <c r="C8" s="20">
        <v>2020</v>
      </c>
      <c r="D8" s="20">
        <v>2021</v>
      </c>
      <c r="E8" s="20">
        <v>2022</v>
      </c>
      <c r="F8" s="20">
        <v>2023</v>
      </c>
      <c r="G8" s="20">
        <v>2024</v>
      </c>
    </row>
    <row r="9" spans="1:16" x14ac:dyDescent="0.45">
      <c r="A9" s="1" t="s">
        <v>83</v>
      </c>
      <c r="B9" s="26">
        <f>+'Cédula Activo Total CAC´s'!J4</f>
        <v>1686584199505.0798</v>
      </c>
      <c r="C9" s="26">
        <f>+B9*(1+B13)</f>
        <v>1720315883495.1814</v>
      </c>
      <c r="D9" s="26">
        <f>+'Cédula Activo Total CAC´s'!J5*(1+'Modelo Ingresos-Gastos (10,000)'!B13)</f>
        <v>3421675988333.4028</v>
      </c>
      <c r="E9" s="26">
        <f>+D9*(1+B13)</f>
        <v>3490109508100.0708</v>
      </c>
      <c r="F9" s="26">
        <f>+'Cédula Activo Total CAC´s'!J7*(1+'Modelo Ingresos-Gastos (10,000)'!B13)</f>
        <v>3688304810656.7197</v>
      </c>
      <c r="G9" s="26">
        <f>+F9*(1+B13)</f>
        <v>3762070906869.854</v>
      </c>
    </row>
    <row r="10" spans="1:16" x14ac:dyDescent="0.45">
      <c r="A10" s="1" t="s">
        <v>26</v>
      </c>
      <c r="B10" s="55">
        <v>5.0000000000000001E-4</v>
      </c>
      <c r="G10" s="1"/>
    </row>
    <row r="11" spans="1:16" x14ac:dyDescent="0.45">
      <c r="A11" s="22" t="s">
        <v>30</v>
      </c>
      <c r="B11" s="56">
        <v>8.8400000000000006E-2</v>
      </c>
      <c r="C11" s="76" t="s">
        <v>28</v>
      </c>
      <c r="G11" s="1"/>
    </row>
    <row r="12" spans="1:16" x14ac:dyDescent="0.45">
      <c r="A12" s="1" t="s">
        <v>57</v>
      </c>
      <c r="B12" s="56">
        <v>5.5E-2</v>
      </c>
      <c r="C12" s="76" t="s">
        <v>68</v>
      </c>
      <c r="G12" s="1"/>
    </row>
    <row r="13" spans="1:16" x14ac:dyDescent="0.45">
      <c r="A13" s="1" t="s">
        <v>84</v>
      </c>
      <c r="B13" s="56">
        <v>0.02</v>
      </c>
      <c r="D13" s="25"/>
      <c r="G13" s="1"/>
    </row>
    <row r="14" spans="1:16" x14ac:dyDescent="0.45">
      <c r="A14" s="1" t="s">
        <v>69</v>
      </c>
      <c r="B14" s="56">
        <v>2.0000000000000001E-4</v>
      </c>
      <c r="D14" s="25"/>
      <c r="G14" s="1"/>
    </row>
    <row r="15" spans="1:16" x14ac:dyDescent="0.45">
      <c r="A15" s="1" t="s">
        <v>63</v>
      </c>
      <c r="B15" s="78">
        <v>285110351.81</v>
      </c>
      <c r="G15" s="1"/>
    </row>
    <row r="16" spans="1:16" x14ac:dyDescent="0.45">
      <c r="G16" s="1"/>
    </row>
    <row r="17" spans="1:8" x14ac:dyDescent="0.45">
      <c r="A17" s="1" t="s">
        <v>3</v>
      </c>
      <c r="B17" s="24">
        <v>0.1</v>
      </c>
      <c r="G17" s="1"/>
    </row>
    <row r="18" spans="1:8" x14ac:dyDescent="0.45">
      <c r="A18" s="1" t="s">
        <v>4</v>
      </c>
      <c r="B18" s="24">
        <v>0.05</v>
      </c>
      <c r="C18" s="77"/>
      <c r="G18" s="1"/>
    </row>
    <row r="19" spans="1:8" x14ac:dyDescent="0.45">
      <c r="A19" s="1" t="s">
        <v>64</v>
      </c>
      <c r="B19" s="24">
        <v>0.03</v>
      </c>
      <c r="G19" s="1"/>
    </row>
    <row r="23" spans="1:8" x14ac:dyDescent="0.45">
      <c r="G23" s="72" t="s">
        <v>2</v>
      </c>
    </row>
    <row r="25" spans="1:8" x14ac:dyDescent="0.45">
      <c r="C25" s="20">
        <v>2020</v>
      </c>
      <c r="D25" s="20">
        <v>2021</v>
      </c>
      <c r="E25" s="20">
        <v>2022</v>
      </c>
      <c r="F25" s="20">
        <v>2023</v>
      </c>
      <c r="G25" s="20">
        <v>2024</v>
      </c>
      <c r="H25" s="20"/>
    </row>
    <row r="26" spans="1:8" x14ac:dyDescent="0.45">
      <c r="A26" s="2" t="s">
        <v>66</v>
      </c>
      <c r="C26" s="45">
        <f>+'Cédula de captaciones CAC´s'!J42</f>
        <v>2823000000</v>
      </c>
      <c r="D26" s="45">
        <f>+C26</f>
        <v>2823000000</v>
      </c>
      <c r="E26" s="45">
        <f>+C26</f>
        <v>2823000000</v>
      </c>
      <c r="F26" s="45">
        <f>+'Cédula Activo Total CAC´s'!D26+'Cédula Activo Total CAC´s'!E26</f>
        <v>3617000000</v>
      </c>
      <c r="G26" s="54">
        <f>+F26</f>
        <v>3617000000</v>
      </c>
      <c r="H26" s="71"/>
    </row>
    <row r="27" spans="1:8" x14ac:dyDescent="0.45">
      <c r="C27" s="20"/>
      <c r="D27" s="20"/>
      <c r="E27" s="20"/>
      <c r="F27" s="20"/>
      <c r="G27" s="20"/>
      <c r="H27" s="2"/>
    </row>
    <row r="28" spans="1:8" x14ac:dyDescent="0.45">
      <c r="A28" s="2" t="s">
        <v>15</v>
      </c>
      <c r="G28" s="1"/>
      <c r="H28" s="20" t="s">
        <v>91</v>
      </c>
    </row>
    <row r="29" spans="1:8" x14ac:dyDescent="0.45">
      <c r="A29" s="1" t="s">
        <v>6</v>
      </c>
      <c r="C29" s="23">
        <f>+(C9/2)*B10</f>
        <v>430078970.87379533</v>
      </c>
      <c r="D29" s="23">
        <f>+D9*B10</f>
        <v>1710837994.1667016</v>
      </c>
      <c r="E29" s="23">
        <f>+E9*B10</f>
        <v>1745054754.0500355</v>
      </c>
      <c r="F29" s="23">
        <f>+F9*B10</f>
        <v>1844152405.3283598</v>
      </c>
      <c r="G29" s="23">
        <f>+G9*B10</f>
        <v>1881035453.434927</v>
      </c>
      <c r="H29" s="73">
        <f>SUM(C29:G29)</f>
        <v>7611159577.8538189</v>
      </c>
    </row>
    <row r="30" spans="1:8" x14ac:dyDescent="0.45">
      <c r="A30" s="1" t="s">
        <v>55</v>
      </c>
      <c r="C30" s="23">
        <f>+C29*B12</f>
        <v>23654343.398058742</v>
      </c>
      <c r="D30" s="23">
        <f>+D29*$B$11</f>
        <v>151238078.68433642</v>
      </c>
      <c r="E30" s="23">
        <f>+E29*$B$11</f>
        <v>154262840.25802314</v>
      </c>
      <c r="F30" s="23">
        <f>+F29*$B$11</f>
        <v>163023072.63102701</v>
      </c>
      <c r="G30" s="23">
        <f>+G29*$B$11</f>
        <v>166283534.08364755</v>
      </c>
      <c r="H30" s="73">
        <f t="shared" ref="H30:H31" si="0">SUM(C30:G30)</f>
        <v>658461869.05509281</v>
      </c>
    </row>
    <row r="31" spans="1:8" x14ac:dyDescent="0.45">
      <c r="A31" s="1" t="s">
        <v>56</v>
      </c>
      <c r="C31" s="23">
        <f>+C26*$B$11</f>
        <v>249553200.00000003</v>
      </c>
      <c r="D31" s="23">
        <f>+D26*$B$11</f>
        <v>249553200.00000003</v>
      </c>
      <c r="E31" s="23">
        <f>+E26*$B$11</f>
        <v>249553200.00000003</v>
      </c>
      <c r="F31" s="23">
        <f>+F26*$B$11</f>
        <v>319742800</v>
      </c>
      <c r="G31" s="23">
        <f>+G26*$B$11</f>
        <v>319742800</v>
      </c>
      <c r="H31" s="73">
        <f t="shared" si="0"/>
        <v>1388145200</v>
      </c>
    </row>
    <row r="32" spans="1:8" x14ac:dyDescent="0.45">
      <c r="C32" s="23"/>
      <c r="D32" s="23"/>
      <c r="E32" s="23"/>
      <c r="F32" s="23"/>
      <c r="G32" s="23"/>
      <c r="H32" s="73"/>
    </row>
    <row r="33" spans="1:8" x14ac:dyDescent="0.45">
      <c r="A33" s="2" t="s">
        <v>16</v>
      </c>
      <c r="C33" s="57">
        <f>SUM(C29:C31)-C34</f>
        <v>702721914.27185404</v>
      </c>
      <c r="D33" s="57">
        <f>SUM(D29:D31)-D34</f>
        <v>2111064672.851038</v>
      </c>
      <c r="E33" s="57">
        <f>SUM(E29:E31)-E34</f>
        <v>2148306194.3080587</v>
      </c>
      <c r="F33" s="57">
        <f>SUM(F29:F31)-F34</f>
        <v>2326194877.9593868</v>
      </c>
      <c r="G33" s="57">
        <f>SUM(G29:G31)-G34</f>
        <v>2366338387.5185747</v>
      </c>
      <c r="H33" s="73">
        <f>SUM(H29:H31)</f>
        <v>9657766646.9089127</v>
      </c>
    </row>
    <row r="34" spans="1:8" x14ac:dyDescent="0.45">
      <c r="A34" s="1" t="s">
        <v>70</v>
      </c>
      <c r="C34" s="21">
        <f>+C26*$B$14</f>
        <v>564600</v>
      </c>
      <c r="D34" s="21">
        <f>+D26*$B$14</f>
        <v>564600</v>
      </c>
      <c r="E34" s="21">
        <f>+E26*$B$14</f>
        <v>564600</v>
      </c>
      <c r="F34" s="21">
        <f>+F26*$B$14</f>
        <v>723400</v>
      </c>
      <c r="G34" s="21">
        <f>+G26*$B$14</f>
        <v>723400</v>
      </c>
      <c r="H34" s="73">
        <f>SUM(C34:G34)</f>
        <v>3140600</v>
      </c>
    </row>
    <row r="35" spans="1:8" x14ac:dyDescent="0.45">
      <c r="A35" s="2" t="s">
        <v>71</v>
      </c>
      <c r="C35" s="57">
        <f t="shared" ref="C35:H35" si="1">+C33-C34</f>
        <v>702157314.27185404</v>
      </c>
      <c r="D35" s="57">
        <f t="shared" si="1"/>
        <v>2110500072.851038</v>
      </c>
      <c r="E35" s="57">
        <f t="shared" si="1"/>
        <v>2147741594.3080587</v>
      </c>
      <c r="F35" s="57">
        <f t="shared" si="1"/>
        <v>2325471477.9593868</v>
      </c>
      <c r="G35" s="57">
        <f t="shared" si="1"/>
        <v>2365614987.5185747</v>
      </c>
      <c r="H35" s="73">
        <f t="shared" si="1"/>
        <v>9654626046.9089127</v>
      </c>
    </row>
    <row r="36" spans="1:8" x14ac:dyDescent="0.45">
      <c r="C36" s="23" t="s">
        <v>2</v>
      </c>
      <c r="D36" s="23" t="s">
        <v>2</v>
      </c>
      <c r="E36" s="23"/>
      <c r="F36" s="23"/>
      <c r="G36" s="23"/>
      <c r="H36" s="2"/>
    </row>
    <row r="37" spans="1:8" x14ac:dyDescent="0.45">
      <c r="A37" s="2" t="s">
        <v>1</v>
      </c>
      <c r="C37" s="21">
        <f>+B15</f>
        <v>285110351.81</v>
      </c>
      <c r="D37" s="21">
        <f>+C37*(1+B17)</f>
        <v>313621386.99100006</v>
      </c>
      <c r="E37" s="21">
        <f>+D37*(1+B18)</f>
        <v>329302456.34055007</v>
      </c>
      <c r="F37" s="21">
        <f>+E37*(1+$B$19)</f>
        <v>339181530.03076655</v>
      </c>
      <c r="G37" s="21">
        <f>+F37*(1+$B$19)</f>
        <v>349356975.93168956</v>
      </c>
      <c r="H37" s="73">
        <f>SUM(C37:G37)</f>
        <v>1616572701.1040063</v>
      </c>
    </row>
    <row r="38" spans="1:8" x14ac:dyDescent="0.45">
      <c r="C38" s="21"/>
      <c r="D38" s="21"/>
      <c r="E38" s="21"/>
      <c r="F38" s="21"/>
      <c r="G38" s="21"/>
      <c r="H38" s="2"/>
    </row>
    <row r="39" spans="1:8" x14ac:dyDescent="0.45">
      <c r="A39" s="2" t="s">
        <v>29</v>
      </c>
      <c r="C39" s="73">
        <f>+C35-C37</f>
        <v>417046962.46185404</v>
      </c>
      <c r="D39" s="73">
        <f t="shared" ref="D39:H39" si="2">+D35-D37</f>
        <v>1796878685.8600378</v>
      </c>
      <c r="E39" s="73">
        <f t="shared" si="2"/>
        <v>1818439137.9675088</v>
      </c>
      <c r="F39" s="73">
        <f t="shared" si="2"/>
        <v>1986289947.9286203</v>
      </c>
      <c r="G39" s="73">
        <f t="shared" si="2"/>
        <v>2016258011.5868852</v>
      </c>
      <c r="H39" s="73">
        <f t="shared" si="2"/>
        <v>8038053345.8049068</v>
      </c>
    </row>
    <row r="40" spans="1:8" x14ac:dyDescent="0.45">
      <c r="H40" s="1" t="s">
        <v>2</v>
      </c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16D67-62B9-4B09-BFF8-102094BF72DA}">
  <dimension ref="A1:L42"/>
  <sheetViews>
    <sheetView workbookViewId="0">
      <selection activeCell="H29" sqref="H29"/>
    </sheetView>
  </sheetViews>
  <sheetFormatPr baseColWidth="10" defaultColWidth="11.453125" defaultRowHeight="14.5" x14ac:dyDescent="0.35"/>
  <cols>
    <col min="1" max="1" width="3.1796875" style="30" customWidth="1"/>
    <col min="2" max="2" width="22.26953125" style="30" customWidth="1"/>
    <col min="3" max="3" width="22.453125" style="30" bestFit="1" customWidth="1"/>
    <col min="4" max="4" width="22.54296875" style="30" bestFit="1" customWidth="1"/>
    <col min="5" max="5" width="24.453125" style="30" bestFit="1" customWidth="1"/>
    <col min="6" max="6" width="14.81640625" style="30" bestFit="1" customWidth="1"/>
    <col min="7" max="7" width="13.453125" style="30" bestFit="1" customWidth="1"/>
    <col min="8" max="8" width="24.26953125" style="30" customWidth="1"/>
    <col min="9" max="9" width="22.453125" style="30" bestFit="1" customWidth="1"/>
    <col min="10" max="10" width="22.54296875" style="30" bestFit="1" customWidth="1"/>
    <col min="11" max="11" width="16.1796875" style="30" bestFit="1" customWidth="1"/>
    <col min="12" max="12" width="15" style="30" bestFit="1" customWidth="1"/>
    <col min="13" max="16384" width="11.453125" style="30"/>
  </cols>
  <sheetData>
    <row r="1" spans="1:12" ht="15" thickBot="1" x14ac:dyDescent="0.4">
      <c r="B1" s="31" t="s">
        <v>33</v>
      </c>
      <c r="F1" s="34">
        <v>5.0000000000000001E-4</v>
      </c>
    </row>
    <row r="2" spans="1:12" ht="15" thickBot="1" x14ac:dyDescent="0.4">
      <c r="B2" s="28" t="s">
        <v>67</v>
      </c>
      <c r="C2" s="29" t="s">
        <v>32</v>
      </c>
      <c r="D2" s="27" t="s">
        <v>31</v>
      </c>
      <c r="E2" s="27" t="s">
        <v>65</v>
      </c>
      <c r="F2" s="15" t="s">
        <v>20</v>
      </c>
      <c r="G2" s="15" t="s">
        <v>21</v>
      </c>
      <c r="I2" s="47" t="s">
        <v>60</v>
      </c>
      <c r="J2" s="50"/>
      <c r="K2" s="51"/>
    </row>
    <row r="3" spans="1:12" ht="15" customHeight="1" x14ac:dyDescent="0.35">
      <c r="A3" s="32">
        <v>1</v>
      </c>
      <c r="B3" s="30" t="s">
        <v>23</v>
      </c>
      <c r="C3" s="36">
        <v>146599310648.95999</v>
      </c>
      <c r="D3" s="36">
        <v>200500000</v>
      </c>
      <c r="E3" s="36">
        <v>0</v>
      </c>
      <c r="F3" s="36">
        <f>+C3*$F$1</f>
        <v>73299655.324479997</v>
      </c>
      <c r="G3" s="36">
        <f>+F3/12</f>
        <v>6108304.6103733331</v>
      </c>
      <c r="I3" s="48" t="s">
        <v>61</v>
      </c>
      <c r="J3" s="49" t="s">
        <v>58</v>
      </c>
      <c r="K3" s="49" t="s">
        <v>59</v>
      </c>
    </row>
    <row r="4" spans="1:12" x14ac:dyDescent="0.35">
      <c r="A4" s="32">
        <v>2</v>
      </c>
      <c r="B4" s="30" t="s">
        <v>24</v>
      </c>
      <c r="C4" s="36">
        <v>19064955395.41</v>
      </c>
      <c r="D4" s="53">
        <v>0</v>
      </c>
      <c r="E4" s="58">
        <v>50000000</v>
      </c>
      <c r="F4" s="36">
        <f t="shared" ref="F4:F25" si="0">+C4*$F$1</f>
        <v>9532477.6977050006</v>
      </c>
      <c r="G4" s="36">
        <f t="shared" ref="G4:G25" si="1">+F4/12</f>
        <v>794373.14147541672</v>
      </c>
      <c r="I4" s="60">
        <v>2020</v>
      </c>
      <c r="J4" s="61">
        <f>+SUM(I30:I36)</f>
        <v>1005785446874.1</v>
      </c>
      <c r="K4" s="62">
        <f>+SUM(K30:K36)</f>
        <v>502892723.43704998</v>
      </c>
      <c r="L4" s="33"/>
    </row>
    <row r="5" spans="1:12" x14ac:dyDescent="0.35">
      <c r="A5" s="32">
        <v>3</v>
      </c>
      <c r="B5" s="30" t="s">
        <v>43</v>
      </c>
      <c r="C5" s="36">
        <v>404925971402.5</v>
      </c>
      <c r="D5" s="36">
        <v>550500000</v>
      </c>
      <c r="E5" s="58">
        <v>0</v>
      </c>
      <c r="F5" s="36">
        <f t="shared" si="0"/>
        <v>202462985.70125002</v>
      </c>
      <c r="G5" s="36">
        <f t="shared" si="1"/>
        <v>16871915.475104168</v>
      </c>
      <c r="I5" s="63">
        <v>2021</v>
      </c>
      <c r="J5" s="46">
        <f>+SUM(I30:I41)</f>
        <v>2044274755814.8101</v>
      </c>
      <c r="K5" s="64">
        <f>+K42</f>
        <v>1022137377.9074049</v>
      </c>
    </row>
    <row r="6" spans="1:12" x14ac:dyDescent="0.35">
      <c r="A6" s="32">
        <v>4</v>
      </c>
      <c r="B6" s="30" t="s">
        <v>34</v>
      </c>
      <c r="C6" s="36">
        <v>7763349585.4799995</v>
      </c>
      <c r="D6" s="53">
        <v>0</v>
      </c>
      <c r="E6" s="58">
        <v>22000000</v>
      </c>
      <c r="F6" s="36">
        <f t="shared" si="0"/>
        <v>3881674.7927399999</v>
      </c>
      <c r="G6" s="36">
        <f t="shared" si="1"/>
        <v>323472.89939500001</v>
      </c>
      <c r="I6" s="65">
        <v>2022</v>
      </c>
      <c r="J6" s="52">
        <f>+I42</f>
        <v>2044274755814.8101</v>
      </c>
      <c r="K6" s="66">
        <f>+K42</f>
        <v>1022137377.9074049</v>
      </c>
    </row>
    <row r="7" spans="1:12" x14ac:dyDescent="0.35">
      <c r="A7" s="32">
        <v>5</v>
      </c>
      <c r="B7" s="30" t="s">
        <v>38</v>
      </c>
      <c r="C7" s="36">
        <v>419668847432.73999</v>
      </c>
      <c r="D7" s="36">
        <v>550500000</v>
      </c>
      <c r="E7" s="58">
        <v>0</v>
      </c>
      <c r="F7" s="36">
        <f t="shared" si="0"/>
        <v>209834423.71636999</v>
      </c>
      <c r="G7" s="36">
        <f t="shared" si="1"/>
        <v>17486201.976364166</v>
      </c>
      <c r="I7" s="63">
        <v>2023</v>
      </c>
      <c r="J7" s="46">
        <f>+C26</f>
        <v>2169710801991.6204</v>
      </c>
      <c r="K7" s="64">
        <f>+F26</f>
        <v>1084855400.9958098</v>
      </c>
    </row>
    <row r="8" spans="1:12" x14ac:dyDescent="0.35">
      <c r="A8" s="32">
        <v>6</v>
      </c>
      <c r="B8" s="30" t="s">
        <v>25</v>
      </c>
      <c r="C8" s="36">
        <v>21250282014.279999</v>
      </c>
      <c r="D8" s="53">
        <v>0</v>
      </c>
      <c r="E8" s="58">
        <v>100000000</v>
      </c>
      <c r="F8" s="36">
        <f t="shared" si="0"/>
        <v>10625141.007139999</v>
      </c>
      <c r="G8" s="36">
        <f t="shared" si="1"/>
        <v>885428.41726166662</v>
      </c>
      <c r="I8" s="67">
        <v>2024</v>
      </c>
      <c r="J8" s="68">
        <f>+C26</f>
        <v>2169710801991.6204</v>
      </c>
      <c r="K8" s="69">
        <f>+F26</f>
        <v>1084855400.9958098</v>
      </c>
    </row>
    <row r="9" spans="1:12" x14ac:dyDescent="0.35">
      <c r="A9" s="32">
        <v>7</v>
      </c>
      <c r="B9" s="83" t="s">
        <v>39</v>
      </c>
      <c r="C9" s="84">
        <v>46051154872.670006</v>
      </c>
      <c r="D9" s="84">
        <v>100500000</v>
      </c>
      <c r="E9" s="85">
        <v>0</v>
      </c>
      <c r="F9" s="84">
        <f t="shared" si="0"/>
        <v>23025577.436335005</v>
      </c>
      <c r="G9" s="84">
        <f t="shared" si="1"/>
        <v>1918798.1196945838</v>
      </c>
    </row>
    <row r="10" spans="1:12" x14ac:dyDescent="0.35">
      <c r="A10" s="32">
        <v>8</v>
      </c>
      <c r="B10" s="30" t="s">
        <v>44</v>
      </c>
      <c r="C10" s="36">
        <v>47682679534.699997</v>
      </c>
      <c r="D10" s="36">
        <v>100500000</v>
      </c>
      <c r="E10" s="58">
        <v>0</v>
      </c>
      <c r="F10" s="36">
        <f t="shared" si="0"/>
        <v>23841339.767349999</v>
      </c>
      <c r="G10" s="36">
        <f t="shared" si="1"/>
        <v>1986778.3139458334</v>
      </c>
    </row>
    <row r="11" spans="1:12" x14ac:dyDescent="0.35">
      <c r="A11" s="32">
        <v>9</v>
      </c>
      <c r="B11" s="30" t="s">
        <v>40</v>
      </c>
      <c r="C11" s="36">
        <v>6625548958.8500004</v>
      </c>
      <c r="D11" s="36">
        <v>22500000</v>
      </c>
      <c r="E11" s="58">
        <v>0</v>
      </c>
      <c r="F11" s="36">
        <f t="shared" si="0"/>
        <v>3312774.479425</v>
      </c>
      <c r="G11" s="36">
        <f t="shared" si="1"/>
        <v>276064.53995208332</v>
      </c>
      <c r="H11" s="33"/>
    </row>
    <row r="12" spans="1:12" x14ac:dyDescent="0.35">
      <c r="A12" s="32">
        <v>10</v>
      </c>
      <c r="B12" s="30" t="s">
        <v>45</v>
      </c>
      <c r="C12" s="36">
        <v>15331219254.34</v>
      </c>
      <c r="D12" s="53">
        <v>0</v>
      </c>
      <c r="E12" s="58">
        <v>50000000</v>
      </c>
      <c r="F12" s="36">
        <f t="shared" si="0"/>
        <v>7665609.6271700002</v>
      </c>
      <c r="G12" s="36">
        <f t="shared" si="1"/>
        <v>638800.80226416665</v>
      </c>
    </row>
    <row r="13" spans="1:12" x14ac:dyDescent="0.35">
      <c r="A13" s="32">
        <v>11</v>
      </c>
      <c r="B13" s="30" t="s">
        <v>41</v>
      </c>
      <c r="C13" s="36">
        <v>22684965107.73</v>
      </c>
      <c r="D13" s="53">
        <v>0</v>
      </c>
      <c r="E13" s="58">
        <v>100000000</v>
      </c>
      <c r="F13" s="36">
        <f t="shared" si="0"/>
        <v>11342482.553865001</v>
      </c>
      <c r="G13" s="36">
        <f t="shared" si="1"/>
        <v>945206.87948875001</v>
      </c>
    </row>
    <row r="14" spans="1:12" x14ac:dyDescent="0.35">
      <c r="A14" s="32">
        <v>12</v>
      </c>
      <c r="B14" s="30" t="s">
        <v>42</v>
      </c>
      <c r="C14" s="36">
        <v>9595286974.2300014</v>
      </c>
      <c r="D14" s="53">
        <v>0</v>
      </c>
      <c r="E14" s="58">
        <v>22000000</v>
      </c>
      <c r="F14" s="36">
        <f t="shared" si="0"/>
        <v>4797643.4871150004</v>
      </c>
      <c r="G14" s="36">
        <f t="shared" si="1"/>
        <v>399803.62392625003</v>
      </c>
    </row>
    <row r="15" spans="1:12" x14ac:dyDescent="0.35">
      <c r="A15" s="32">
        <v>13</v>
      </c>
      <c r="B15" s="30" t="s">
        <v>46</v>
      </c>
      <c r="C15" s="36">
        <v>4455485163.1800003</v>
      </c>
      <c r="D15" s="53">
        <v>0</v>
      </c>
      <c r="E15" s="58">
        <v>9000000</v>
      </c>
      <c r="F15" s="36">
        <f t="shared" si="0"/>
        <v>2227742.5815900001</v>
      </c>
      <c r="G15" s="36">
        <f t="shared" si="1"/>
        <v>185645.21513250002</v>
      </c>
    </row>
    <row r="16" spans="1:12" x14ac:dyDescent="0.35">
      <c r="A16" s="32">
        <v>14</v>
      </c>
      <c r="B16" s="30" t="s">
        <v>47</v>
      </c>
      <c r="C16" s="36">
        <v>22112150129.849998</v>
      </c>
      <c r="D16" s="36">
        <v>50500000</v>
      </c>
      <c r="E16" s="58">
        <v>0</v>
      </c>
      <c r="F16" s="36">
        <f t="shared" si="0"/>
        <v>11056075.064925</v>
      </c>
      <c r="G16" s="36">
        <f t="shared" si="1"/>
        <v>921339.58874375001</v>
      </c>
    </row>
    <row r="17" spans="1:12" x14ac:dyDescent="0.35">
      <c r="A17" s="32">
        <v>15</v>
      </c>
      <c r="B17" s="30" t="s">
        <v>48</v>
      </c>
      <c r="C17" s="36">
        <v>41031235463.389999</v>
      </c>
      <c r="D17" s="36">
        <v>100500000</v>
      </c>
      <c r="E17" s="58">
        <v>0</v>
      </c>
      <c r="F17" s="36">
        <f t="shared" si="0"/>
        <v>20515617.731695</v>
      </c>
      <c r="G17" s="36">
        <f t="shared" si="1"/>
        <v>1709634.8109745833</v>
      </c>
    </row>
    <row r="18" spans="1:12" x14ac:dyDescent="0.35">
      <c r="A18" s="32">
        <v>16</v>
      </c>
      <c r="B18" s="30" t="s">
        <v>49</v>
      </c>
      <c r="C18" s="36">
        <v>465074828917.59998</v>
      </c>
      <c r="D18" s="36">
        <v>550500000</v>
      </c>
      <c r="E18" s="58">
        <v>0</v>
      </c>
      <c r="F18" s="36">
        <f t="shared" si="0"/>
        <v>232537414.45879999</v>
      </c>
      <c r="G18" s="36">
        <f t="shared" si="1"/>
        <v>19378117.871566664</v>
      </c>
    </row>
    <row r="19" spans="1:12" x14ac:dyDescent="0.35">
      <c r="A19" s="32">
        <v>17</v>
      </c>
      <c r="B19" s="30" t="s">
        <v>50</v>
      </c>
      <c r="C19" s="36">
        <v>8055603570.1900005</v>
      </c>
      <c r="D19" s="53">
        <v>0</v>
      </c>
      <c r="E19" s="58">
        <v>22000000</v>
      </c>
      <c r="F19" s="36">
        <f t="shared" si="0"/>
        <v>4027801.7850950002</v>
      </c>
      <c r="G19" s="36">
        <f t="shared" si="1"/>
        <v>335650.1487579167</v>
      </c>
    </row>
    <row r="20" spans="1:12" x14ac:dyDescent="0.35">
      <c r="A20" s="32">
        <v>18</v>
      </c>
      <c r="B20" s="30" t="s">
        <v>51</v>
      </c>
      <c r="C20" s="36">
        <v>10688622271.040001</v>
      </c>
      <c r="D20" s="53">
        <v>0</v>
      </c>
      <c r="E20" s="58">
        <v>36000000</v>
      </c>
      <c r="F20" s="36">
        <f t="shared" si="0"/>
        <v>5344311.1355200009</v>
      </c>
      <c r="G20" s="36">
        <f t="shared" si="1"/>
        <v>445359.26129333343</v>
      </c>
    </row>
    <row r="21" spans="1:12" x14ac:dyDescent="0.35">
      <c r="A21" s="32">
        <v>19</v>
      </c>
      <c r="B21" s="30" t="s">
        <v>35</v>
      </c>
      <c r="C21" s="36">
        <v>431189915395.62</v>
      </c>
      <c r="D21" s="36">
        <v>550500000</v>
      </c>
      <c r="E21" s="58">
        <v>0</v>
      </c>
      <c r="F21" s="36">
        <f t="shared" si="0"/>
        <v>215594957.69780999</v>
      </c>
      <c r="G21" s="36">
        <f t="shared" si="1"/>
        <v>17966246.4748175</v>
      </c>
    </row>
    <row r="22" spans="1:12" x14ac:dyDescent="0.35">
      <c r="A22" s="32">
        <v>20</v>
      </c>
      <c r="B22" s="30" t="s">
        <v>36</v>
      </c>
      <c r="C22" s="36">
        <v>2566053169.0900002</v>
      </c>
      <c r="D22" s="53">
        <v>0</v>
      </c>
      <c r="E22" s="58">
        <v>9000000</v>
      </c>
      <c r="F22" s="36">
        <f t="shared" si="0"/>
        <v>1283026.584545</v>
      </c>
      <c r="G22" s="36">
        <f t="shared" si="1"/>
        <v>106918.88204541667</v>
      </c>
    </row>
    <row r="23" spans="1:12" x14ac:dyDescent="0.35">
      <c r="A23" s="32">
        <v>21</v>
      </c>
      <c r="B23" s="30" t="s">
        <v>37</v>
      </c>
      <c r="C23" s="36">
        <v>13313113057.93</v>
      </c>
      <c r="D23" s="36">
        <v>36500000</v>
      </c>
      <c r="E23" s="58">
        <v>0</v>
      </c>
      <c r="F23" s="36">
        <f t="shared" si="0"/>
        <v>6656556.5289650001</v>
      </c>
      <c r="G23" s="36">
        <f t="shared" si="1"/>
        <v>554713.04408041667</v>
      </c>
    </row>
    <row r="24" spans="1:12" x14ac:dyDescent="0.35">
      <c r="A24" s="32">
        <v>22</v>
      </c>
      <c r="B24" s="30" t="s">
        <v>27</v>
      </c>
      <c r="C24" s="36">
        <v>3980223671.8400002</v>
      </c>
      <c r="D24" s="53">
        <v>0</v>
      </c>
      <c r="E24" s="58">
        <v>9000000</v>
      </c>
      <c r="F24" s="36">
        <f t="shared" si="0"/>
        <v>1990111.8359200002</v>
      </c>
      <c r="G24" s="36">
        <f t="shared" si="1"/>
        <v>165842.65299333335</v>
      </c>
    </row>
    <row r="25" spans="1:12" ht="15" thickBot="1" x14ac:dyDescent="0.4">
      <c r="A25" s="32">
        <v>23</v>
      </c>
      <c r="B25" s="30" t="s">
        <v>52</v>
      </c>
      <c r="C25" s="36">
        <v>0</v>
      </c>
      <c r="D25" s="36">
        <v>9500000</v>
      </c>
      <c r="E25" s="58">
        <v>0</v>
      </c>
      <c r="F25" s="36">
        <f t="shared" si="0"/>
        <v>0</v>
      </c>
      <c r="G25" s="36">
        <f t="shared" si="1"/>
        <v>0</v>
      </c>
    </row>
    <row r="26" spans="1:12" ht="15" thickBot="1" x14ac:dyDescent="0.4">
      <c r="B26" s="41" t="s">
        <v>18</v>
      </c>
      <c r="C26" s="42">
        <f>SUM(C3:C25)</f>
        <v>2169710801991.6204</v>
      </c>
      <c r="D26" s="42">
        <f>SUM(D3:D25)</f>
        <v>2823000000</v>
      </c>
      <c r="E26" s="59">
        <f>SUM(E3:E25)</f>
        <v>429000000</v>
      </c>
      <c r="F26" s="42">
        <f>SUM(F3:F25)</f>
        <v>1084855400.9958098</v>
      </c>
      <c r="G26" s="43">
        <f>SUM(G3:G25)</f>
        <v>90404616.749650851</v>
      </c>
    </row>
    <row r="28" spans="1:12" ht="15" thickBot="1" x14ac:dyDescent="0.4">
      <c r="D28" s="33" t="s">
        <v>2</v>
      </c>
      <c r="H28" s="31" t="s">
        <v>33</v>
      </c>
      <c r="K28" s="34">
        <v>5.0000000000000001E-4</v>
      </c>
    </row>
    <row r="29" spans="1:12" ht="15" thickBot="1" x14ac:dyDescent="0.4">
      <c r="H29" s="28" t="s">
        <v>62</v>
      </c>
      <c r="I29" s="29" t="s">
        <v>32</v>
      </c>
      <c r="J29" s="27" t="s">
        <v>31</v>
      </c>
      <c r="K29" s="14" t="s">
        <v>20</v>
      </c>
      <c r="L29" s="15" t="s">
        <v>21</v>
      </c>
    </row>
    <row r="30" spans="1:12" x14ac:dyDescent="0.35">
      <c r="G30" s="35">
        <v>1</v>
      </c>
      <c r="H30" s="37" t="str">
        <f>+B5</f>
        <v xml:space="preserve">COOPEALIANZA </v>
      </c>
      <c r="I30" s="38">
        <f>+C5</f>
        <v>404925971402.5</v>
      </c>
      <c r="J30" s="38">
        <f>+D5</f>
        <v>550500000</v>
      </c>
      <c r="K30" s="39">
        <f>+I30*$K$28</f>
        <v>202462985.70125002</v>
      </c>
      <c r="L30" s="40">
        <f>+K30/12</f>
        <v>16871915.475104168</v>
      </c>
    </row>
    <row r="31" spans="1:12" x14ac:dyDescent="0.35">
      <c r="G31" s="35">
        <v>2</v>
      </c>
      <c r="H31" s="37" t="str">
        <f t="shared" ref="H31:J33" si="2">+B9</f>
        <v xml:space="preserve">COOPEBANPO </v>
      </c>
      <c r="I31" s="38">
        <f t="shared" si="2"/>
        <v>46051154872.670006</v>
      </c>
      <c r="J31" s="38">
        <f t="shared" si="2"/>
        <v>100500000</v>
      </c>
      <c r="K31" s="39">
        <f t="shared" ref="K31:K41" si="3">+I31*$K$28</f>
        <v>23025577.436335005</v>
      </c>
      <c r="L31" s="40">
        <f t="shared" ref="L31:L41" si="4">+K31/12</f>
        <v>1918798.1196945838</v>
      </c>
    </row>
    <row r="32" spans="1:12" x14ac:dyDescent="0.35">
      <c r="G32" s="35">
        <v>3</v>
      </c>
      <c r="H32" s="37" t="str">
        <f t="shared" si="2"/>
        <v xml:space="preserve">COOPECAJA </v>
      </c>
      <c r="I32" s="38">
        <f t="shared" si="2"/>
        <v>47682679534.699997</v>
      </c>
      <c r="J32" s="38">
        <f t="shared" si="2"/>
        <v>100500000</v>
      </c>
      <c r="K32" s="39">
        <f t="shared" si="3"/>
        <v>23841339.767349999</v>
      </c>
      <c r="L32" s="40">
        <f t="shared" si="4"/>
        <v>1986778.3139458334</v>
      </c>
    </row>
    <row r="33" spans="7:12" x14ac:dyDescent="0.35">
      <c r="G33" s="35">
        <v>4</v>
      </c>
      <c r="H33" s="37" t="str">
        <f t="shared" si="2"/>
        <v xml:space="preserve">COOPECAR </v>
      </c>
      <c r="I33" s="38">
        <f t="shared" si="2"/>
        <v>6625548958.8500004</v>
      </c>
      <c r="J33" s="38">
        <f t="shared" si="2"/>
        <v>22500000</v>
      </c>
      <c r="K33" s="39">
        <f t="shared" si="3"/>
        <v>3312774.479425</v>
      </c>
      <c r="L33" s="40">
        <f t="shared" si="4"/>
        <v>276064.53995208332</v>
      </c>
    </row>
    <row r="34" spans="7:12" x14ac:dyDescent="0.35">
      <c r="G34" s="35">
        <v>5</v>
      </c>
      <c r="H34" s="37" t="str">
        <f>+B16</f>
        <v xml:space="preserve">COOPEMEDICOS </v>
      </c>
      <c r="I34" s="38">
        <f>+C16</f>
        <v>22112150129.849998</v>
      </c>
      <c r="J34" s="38">
        <f>+D16</f>
        <v>50500000</v>
      </c>
      <c r="K34" s="39">
        <f t="shared" si="3"/>
        <v>11056075.064925</v>
      </c>
      <c r="L34" s="40">
        <f t="shared" si="4"/>
        <v>921339.58874375001</v>
      </c>
    </row>
    <row r="35" spans="7:12" x14ac:dyDescent="0.35">
      <c r="G35" s="35">
        <v>6</v>
      </c>
      <c r="H35" s="37" t="str">
        <f>+B18</f>
        <v xml:space="preserve">COOPENAE </v>
      </c>
      <c r="I35" s="38">
        <f>+C18</f>
        <v>465074828917.59998</v>
      </c>
      <c r="J35" s="38">
        <f>+D18</f>
        <v>550500000</v>
      </c>
      <c r="K35" s="39">
        <f t="shared" si="3"/>
        <v>232537414.45879999</v>
      </c>
      <c r="L35" s="40">
        <f t="shared" si="4"/>
        <v>19378117.871566664</v>
      </c>
    </row>
    <row r="36" spans="7:12" x14ac:dyDescent="0.35">
      <c r="G36" s="35">
        <v>7</v>
      </c>
      <c r="H36" s="37" t="str">
        <f>+B23</f>
        <v xml:space="preserve">CREDECOOP </v>
      </c>
      <c r="I36" s="38">
        <f>+C23</f>
        <v>13313113057.93</v>
      </c>
      <c r="J36" s="38">
        <f>+D23</f>
        <v>36500000</v>
      </c>
      <c r="K36" s="39">
        <f t="shared" si="3"/>
        <v>6656556.5289650001</v>
      </c>
      <c r="L36" s="40">
        <f t="shared" si="4"/>
        <v>554713.04408041667</v>
      </c>
    </row>
    <row r="37" spans="7:12" x14ac:dyDescent="0.35">
      <c r="G37" s="35">
        <v>8</v>
      </c>
      <c r="H37" s="37" t="str">
        <f>+B3</f>
        <v>COOCIQUE</v>
      </c>
      <c r="I37" s="38">
        <f>+C3</f>
        <v>146599310648.95999</v>
      </c>
      <c r="J37" s="38">
        <v>200500000</v>
      </c>
      <c r="K37" s="39">
        <f t="shared" si="3"/>
        <v>73299655.324479997</v>
      </c>
      <c r="L37" s="40">
        <f t="shared" si="4"/>
        <v>6108304.6103733331</v>
      </c>
    </row>
    <row r="38" spans="7:12" x14ac:dyDescent="0.35">
      <c r="G38" s="35">
        <v>9</v>
      </c>
      <c r="H38" s="37" t="str">
        <f>+B21</f>
        <v xml:space="preserve">COOPESERVIDORES </v>
      </c>
      <c r="I38" s="38">
        <f>+C21</f>
        <v>431189915395.62</v>
      </c>
      <c r="J38" s="38">
        <v>550500000</v>
      </c>
      <c r="K38" s="39">
        <f t="shared" si="3"/>
        <v>215594957.69780999</v>
      </c>
      <c r="L38" s="40">
        <f t="shared" si="4"/>
        <v>17966246.4748175</v>
      </c>
    </row>
    <row r="39" spans="7:12" x14ac:dyDescent="0.35">
      <c r="G39" s="35">
        <v>10</v>
      </c>
      <c r="H39" s="37" t="str" cm="1">
        <f t="array" ref="H39:I39">+B17:C17</f>
        <v xml:space="preserve">COOPEMEP </v>
      </c>
      <c r="I39" s="38">
        <v>41031235463.389999</v>
      </c>
      <c r="J39" s="38">
        <v>100500000</v>
      </c>
      <c r="K39" s="39">
        <f t="shared" si="3"/>
        <v>20515617.731695</v>
      </c>
      <c r="L39" s="40">
        <f t="shared" si="4"/>
        <v>1709634.8109745833</v>
      </c>
    </row>
    <row r="40" spans="7:12" x14ac:dyDescent="0.35">
      <c r="G40" s="35">
        <v>11</v>
      </c>
      <c r="H40" s="37" t="str" cm="1">
        <f t="array" ref="H40:I40">+B25:C25</f>
        <v>COOPEASAMBLEA</v>
      </c>
      <c r="I40" s="38">
        <v>0</v>
      </c>
      <c r="J40" s="38">
        <v>9500000</v>
      </c>
      <c r="K40" s="39">
        <f t="shared" si="3"/>
        <v>0</v>
      </c>
      <c r="L40" s="40">
        <f t="shared" si="4"/>
        <v>0</v>
      </c>
    </row>
    <row r="41" spans="7:12" ht="15" thickBot="1" x14ac:dyDescent="0.4">
      <c r="G41" s="35">
        <v>12</v>
      </c>
      <c r="H41" s="44" t="str" cm="1">
        <f t="array" ref="H41:I41">+B7:C7</f>
        <v xml:space="preserve">COOPEANDE Nº 1 </v>
      </c>
      <c r="I41" s="38">
        <v>419668847432.73999</v>
      </c>
      <c r="J41" s="38">
        <v>550500000</v>
      </c>
      <c r="K41" s="39">
        <f t="shared" si="3"/>
        <v>209834423.71636999</v>
      </c>
      <c r="L41" s="40">
        <f t="shared" si="4"/>
        <v>17486201.976364166</v>
      </c>
    </row>
    <row r="42" spans="7:12" ht="15" thickBot="1" x14ac:dyDescent="0.4">
      <c r="H42" s="41" t="s">
        <v>53</v>
      </c>
      <c r="I42" s="42">
        <f>SUM(I30:I41)</f>
        <v>2044274755814.8101</v>
      </c>
      <c r="J42" s="42">
        <f>SUM(J30:J41)</f>
        <v>2823000000</v>
      </c>
      <c r="K42" s="42">
        <f>SUM(K30:K41)</f>
        <v>1022137377.9074049</v>
      </c>
      <c r="L42" s="43">
        <f>SUM(L30:L41)</f>
        <v>85178114.82561709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76B190-8DFC-4BFA-AE53-F7E2193F2ED0}">
  <dimension ref="A1:L42"/>
  <sheetViews>
    <sheetView workbookViewId="0">
      <selection activeCell="H29" sqref="H29"/>
    </sheetView>
  </sheetViews>
  <sheetFormatPr baseColWidth="10" defaultColWidth="11.453125" defaultRowHeight="14.5" x14ac:dyDescent="0.35"/>
  <cols>
    <col min="1" max="1" width="3.1796875" style="30" customWidth="1"/>
    <col min="2" max="2" width="22.26953125" style="30" customWidth="1"/>
    <col min="3" max="3" width="22.453125" style="30" bestFit="1" customWidth="1"/>
    <col min="4" max="4" width="22.54296875" style="30" bestFit="1" customWidth="1"/>
    <col min="5" max="5" width="24.453125" style="30" bestFit="1" customWidth="1"/>
    <col min="6" max="6" width="14.81640625" style="30" bestFit="1" customWidth="1"/>
    <col min="7" max="7" width="13.453125" style="30" bestFit="1" customWidth="1"/>
    <col min="8" max="8" width="24.26953125" style="30" customWidth="1"/>
    <col min="9" max="9" width="22.453125" style="30" bestFit="1" customWidth="1"/>
    <col min="10" max="10" width="22.54296875" style="30" bestFit="1" customWidth="1"/>
    <col min="11" max="11" width="16.1796875" style="30" bestFit="1" customWidth="1"/>
    <col min="12" max="12" width="15" style="30" bestFit="1" customWidth="1"/>
    <col min="13" max="16384" width="11.453125" style="30"/>
  </cols>
  <sheetData>
    <row r="1" spans="1:12" ht="15" thickBot="1" x14ac:dyDescent="0.4">
      <c r="B1" s="31" t="s">
        <v>73</v>
      </c>
      <c r="F1" s="34">
        <v>5.0000000000000001E-4</v>
      </c>
    </row>
    <row r="2" spans="1:12" ht="15" thickBot="1" x14ac:dyDescent="0.4">
      <c r="B2" s="28" t="s">
        <v>67</v>
      </c>
      <c r="C2" s="29" t="s">
        <v>72</v>
      </c>
      <c r="D2" s="70" t="s">
        <v>31</v>
      </c>
      <c r="E2" s="70" t="s">
        <v>65</v>
      </c>
      <c r="F2" s="15" t="s">
        <v>20</v>
      </c>
      <c r="G2" s="15" t="s">
        <v>21</v>
      </c>
      <c r="H2" s="80">
        <v>1000</v>
      </c>
      <c r="I2" s="47" t="s">
        <v>60</v>
      </c>
      <c r="J2" s="50"/>
      <c r="K2" s="51"/>
    </row>
    <row r="3" spans="1:12" ht="15" customHeight="1" x14ac:dyDescent="0.35">
      <c r="A3" s="32">
        <v>1</v>
      </c>
      <c r="B3" s="30" t="s">
        <v>23</v>
      </c>
      <c r="C3" s="79">
        <v>179990000064.97</v>
      </c>
      <c r="D3" s="36">
        <v>200500000</v>
      </c>
      <c r="E3" s="36">
        <v>0</v>
      </c>
      <c r="F3" s="36">
        <f t="shared" ref="F3:F25" si="0">+C3*$F$1</f>
        <v>89995000.032485008</v>
      </c>
      <c r="G3" s="36">
        <f>+F3/12</f>
        <v>7499583.3360404177</v>
      </c>
      <c r="I3" s="48" t="s">
        <v>61</v>
      </c>
      <c r="J3" s="49" t="s">
        <v>58</v>
      </c>
      <c r="K3" s="49" t="s">
        <v>59</v>
      </c>
    </row>
    <row r="4" spans="1:12" x14ac:dyDescent="0.35">
      <c r="A4" s="32">
        <v>2</v>
      </c>
      <c r="B4" s="30" t="s">
        <v>24</v>
      </c>
      <c r="C4" s="79">
        <v>15676072007.530001</v>
      </c>
      <c r="D4" s="53">
        <v>0</v>
      </c>
      <c r="E4" s="58">
        <v>50000000</v>
      </c>
      <c r="F4" s="36">
        <f t="shared" si="0"/>
        <v>7838036.003765001</v>
      </c>
      <c r="G4" s="36">
        <f t="shared" ref="G4:G25" si="1">+F4/12</f>
        <v>653169.66698041675</v>
      </c>
      <c r="I4" s="60">
        <v>2020</v>
      </c>
      <c r="J4" s="61">
        <f>+SUM(I30:I36)</f>
        <v>1143816903083.8699</v>
      </c>
      <c r="K4" s="62">
        <f>+SUM(K30:K36)</f>
        <v>571908451.54193497</v>
      </c>
      <c r="L4" s="33"/>
    </row>
    <row r="5" spans="1:12" x14ac:dyDescent="0.35">
      <c r="A5" s="32">
        <v>3</v>
      </c>
      <c r="B5" s="30" t="s">
        <v>43</v>
      </c>
      <c r="C5" s="79">
        <v>351470272610.34003</v>
      </c>
      <c r="D5" s="36">
        <v>550500000</v>
      </c>
      <c r="E5" s="58">
        <v>0</v>
      </c>
      <c r="F5" s="36">
        <f t="shared" si="0"/>
        <v>175735136.30517003</v>
      </c>
      <c r="G5" s="36">
        <f t="shared" si="1"/>
        <v>14644594.692097502</v>
      </c>
      <c r="I5" s="63">
        <v>2021</v>
      </c>
      <c r="J5" s="46">
        <f>+SUM(I30:I41)</f>
        <v>2292973109980.3496</v>
      </c>
      <c r="K5" s="64">
        <f>+K42</f>
        <v>1146486554.990175</v>
      </c>
    </row>
    <row r="6" spans="1:12" x14ac:dyDescent="0.35">
      <c r="A6" s="32">
        <v>4</v>
      </c>
      <c r="B6" s="30" t="s">
        <v>34</v>
      </c>
      <c r="C6" s="79">
        <v>25209960680.039997</v>
      </c>
      <c r="D6" s="53">
        <v>0</v>
      </c>
      <c r="E6" s="58">
        <v>100000000</v>
      </c>
      <c r="F6" s="36">
        <f t="shared" si="0"/>
        <v>12604980.340019999</v>
      </c>
      <c r="G6" s="36">
        <f t="shared" si="1"/>
        <v>1050415.0283349999</v>
      </c>
      <c r="I6" s="65">
        <v>2022</v>
      </c>
      <c r="J6" s="52">
        <f>+I42</f>
        <v>2292973109980.3496</v>
      </c>
      <c r="K6" s="66">
        <f>+K42</f>
        <v>1146486554.990175</v>
      </c>
    </row>
    <row r="7" spans="1:12" x14ac:dyDescent="0.35">
      <c r="A7" s="32">
        <v>5</v>
      </c>
      <c r="B7" s="30" t="s">
        <v>38</v>
      </c>
      <c r="C7" s="79">
        <v>406961275292.63</v>
      </c>
      <c r="D7" s="36">
        <v>550500000</v>
      </c>
      <c r="E7" s="58">
        <v>0</v>
      </c>
      <c r="F7" s="36">
        <f t="shared" si="0"/>
        <v>203480637.64631501</v>
      </c>
      <c r="G7" s="36">
        <f t="shared" si="1"/>
        <v>16956719.803859584</v>
      </c>
      <c r="I7" s="63">
        <v>2023</v>
      </c>
      <c r="J7" s="46">
        <f>+C26</f>
        <v>2478153274520.6201</v>
      </c>
      <c r="K7" s="64">
        <f>+F26</f>
        <v>1239076637.2603102</v>
      </c>
    </row>
    <row r="8" spans="1:12" x14ac:dyDescent="0.35">
      <c r="A8" s="32">
        <v>6</v>
      </c>
      <c r="B8" s="30" t="s">
        <v>25</v>
      </c>
      <c r="C8" s="79">
        <v>26738453101.759998</v>
      </c>
      <c r="D8" s="53">
        <v>0</v>
      </c>
      <c r="E8" s="58">
        <v>100000000</v>
      </c>
      <c r="F8" s="36">
        <f t="shared" si="0"/>
        <v>13369226.55088</v>
      </c>
      <c r="G8" s="36">
        <f t="shared" si="1"/>
        <v>1114102.2125733334</v>
      </c>
      <c r="I8" s="67">
        <v>2024</v>
      </c>
      <c r="J8" s="68">
        <f>+C26</f>
        <v>2478153274520.6201</v>
      </c>
      <c r="K8" s="69">
        <f>+F26</f>
        <v>1239076637.2603102</v>
      </c>
    </row>
    <row r="9" spans="1:12" x14ac:dyDescent="0.35">
      <c r="A9" s="32">
        <v>7</v>
      </c>
      <c r="B9" s="30" t="s">
        <v>39</v>
      </c>
      <c r="C9" s="79">
        <v>47239672902.239998</v>
      </c>
      <c r="D9" s="36">
        <v>100500000</v>
      </c>
      <c r="E9" s="58">
        <v>0</v>
      </c>
      <c r="F9" s="36">
        <f t="shared" si="0"/>
        <v>23619836.45112</v>
      </c>
      <c r="G9" s="36">
        <f t="shared" si="1"/>
        <v>1968319.70426</v>
      </c>
    </row>
    <row r="10" spans="1:12" x14ac:dyDescent="0.35">
      <c r="A10" s="32">
        <v>8</v>
      </c>
      <c r="B10" s="30" t="s">
        <v>44</v>
      </c>
      <c r="C10" s="79">
        <v>148369235979.94</v>
      </c>
      <c r="D10" s="36">
        <v>100500000</v>
      </c>
      <c r="E10" s="58">
        <v>0</v>
      </c>
      <c r="F10" s="36">
        <f t="shared" si="0"/>
        <v>74184617.989969999</v>
      </c>
      <c r="G10" s="36">
        <f t="shared" si="1"/>
        <v>6182051.4991641669</v>
      </c>
    </row>
    <row r="11" spans="1:12" x14ac:dyDescent="0.35">
      <c r="A11" s="32">
        <v>9</v>
      </c>
      <c r="B11" s="30" t="s">
        <v>40</v>
      </c>
      <c r="C11" s="79">
        <v>6585584699.7800007</v>
      </c>
      <c r="D11" s="36">
        <v>22500000</v>
      </c>
      <c r="E11" s="58">
        <v>0</v>
      </c>
      <c r="F11" s="36">
        <f t="shared" si="0"/>
        <v>3292792.3498900002</v>
      </c>
      <c r="G11" s="36">
        <f t="shared" si="1"/>
        <v>274399.36249083333</v>
      </c>
    </row>
    <row r="12" spans="1:12" x14ac:dyDescent="0.35">
      <c r="A12" s="32">
        <v>10</v>
      </c>
      <c r="B12" s="30" t="s">
        <v>45</v>
      </c>
      <c r="C12" s="79">
        <v>31597259456.18</v>
      </c>
      <c r="D12" s="53">
        <v>0</v>
      </c>
      <c r="E12" s="58">
        <v>100000000</v>
      </c>
      <c r="F12" s="36">
        <f t="shared" si="0"/>
        <v>15798629.728090001</v>
      </c>
      <c r="G12" s="36">
        <f t="shared" si="1"/>
        <v>1316552.4773408335</v>
      </c>
    </row>
    <row r="13" spans="1:12" x14ac:dyDescent="0.35">
      <c r="A13" s="32">
        <v>11</v>
      </c>
      <c r="B13" s="30" t="s">
        <v>41</v>
      </c>
      <c r="C13" s="79">
        <v>20156289808.600002</v>
      </c>
      <c r="D13" s="53">
        <v>0</v>
      </c>
      <c r="E13" s="58">
        <v>100000000</v>
      </c>
      <c r="F13" s="36">
        <f t="shared" si="0"/>
        <v>10078144.904300001</v>
      </c>
      <c r="G13" s="36">
        <f t="shared" si="1"/>
        <v>839845.40869166667</v>
      </c>
    </row>
    <row r="14" spans="1:12" x14ac:dyDescent="0.35">
      <c r="A14" s="32">
        <v>12</v>
      </c>
      <c r="B14" s="30" t="s">
        <v>42</v>
      </c>
      <c r="C14" s="79">
        <v>22908745748.879997</v>
      </c>
      <c r="D14" s="53">
        <v>0</v>
      </c>
      <c r="E14" s="58">
        <v>100000000</v>
      </c>
      <c r="F14" s="36">
        <f t="shared" si="0"/>
        <v>11454372.874439999</v>
      </c>
      <c r="G14" s="36">
        <f t="shared" si="1"/>
        <v>954531.07286999992</v>
      </c>
    </row>
    <row r="15" spans="1:12" x14ac:dyDescent="0.35">
      <c r="A15" s="32">
        <v>13</v>
      </c>
      <c r="B15" s="30" t="s">
        <v>46</v>
      </c>
      <c r="C15" s="79">
        <v>12503080042.799999</v>
      </c>
      <c r="D15" s="53">
        <v>0</v>
      </c>
      <c r="E15" s="58">
        <v>36000000</v>
      </c>
      <c r="F15" s="36">
        <f t="shared" si="0"/>
        <v>6251540.0214</v>
      </c>
      <c r="G15" s="36">
        <f t="shared" si="1"/>
        <v>520961.66845</v>
      </c>
    </row>
    <row r="16" spans="1:12" x14ac:dyDescent="0.35">
      <c r="A16" s="32">
        <v>14</v>
      </c>
      <c r="B16" s="30" t="s">
        <v>47</v>
      </c>
      <c r="C16" s="79">
        <v>25812328987.759998</v>
      </c>
      <c r="D16" s="36">
        <v>50500000</v>
      </c>
      <c r="E16" s="58">
        <v>0</v>
      </c>
      <c r="F16" s="36">
        <f t="shared" si="0"/>
        <v>12906164.49388</v>
      </c>
      <c r="G16" s="36">
        <f t="shared" si="1"/>
        <v>1075513.7078233333</v>
      </c>
    </row>
    <row r="17" spans="1:12" x14ac:dyDescent="0.35">
      <c r="A17" s="32">
        <v>15</v>
      </c>
      <c r="B17" s="30" t="s">
        <v>48</v>
      </c>
      <c r="C17" s="79">
        <v>84872440005.229996</v>
      </c>
      <c r="D17" s="36">
        <v>100500000</v>
      </c>
      <c r="E17" s="58">
        <v>0</v>
      </c>
      <c r="F17" s="36">
        <f t="shared" si="0"/>
        <v>42436220.002614997</v>
      </c>
      <c r="G17" s="36">
        <f t="shared" si="1"/>
        <v>3536351.666884583</v>
      </c>
    </row>
    <row r="18" spans="1:12" x14ac:dyDescent="0.35">
      <c r="A18" s="32">
        <v>16</v>
      </c>
      <c r="B18" s="30" t="s">
        <v>49</v>
      </c>
      <c r="C18" s="79">
        <v>550484733780.16992</v>
      </c>
      <c r="D18" s="36">
        <v>550500000</v>
      </c>
      <c r="E18" s="58">
        <v>0</v>
      </c>
      <c r="F18" s="36">
        <f t="shared" si="0"/>
        <v>275242366.89008498</v>
      </c>
      <c r="G18" s="36">
        <f t="shared" si="1"/>
        <v>22936863.907507081</v>
      </c>
    </row>
    <row r="19" spans="1:12" x14ac:dyDescent="0.35">
      <c r="A19" s="32">
        <v>17</v>
      </c>
      <c r="B19" s="30" t="s">
        <v>50</v>
      </c>
      <c r="C19" s="79">
        <v>5987306831.5700006</v>
      </c>
      <c r="D19" s="53">
        <v>0</v>
      </c>
      <c r="E19" s="58">
        <v>22000000</v>
      </c>
      <c r="F19" s="36">
        <f t="shared" si="0"/>
        <v>2993653.4157850002</v>
      </c>
      <c r="G19" s="36">
        <f t="shared" si="1"/>
        <v>249471.11798208335</v>
      </c>
    </row>
    <row r="20" spans="1:12" x14ac:dyDescent="0.35">
      <c r="A20" s="32">
        <v>18</v>
      </c>
      <c r="B20" s="30" t="s">
        <v>51</v>
      </c>
      <c r="C20" s="79">
        <v>9972558159.5</v>
      </c>
      <c r="D20" s="53">
        <v>0</v>
      </c>
      <c r="E20" s="58">
        <v>22000000</v>
      </c>
      <c r="F20" s="36">
        <f t="shared" si="0"/>
        <v>4986279.0797500005</v>
      </c>
      <c r="G20" s="36">
        <f t="shared" si="1"/>
        <v>415523.25664583337</v>
      </c>
    </row>
    <row r="21" spans="1:12" x14ac:dyDescent="0.35">
      <c r="A21" s="32">
        <v>19</v>
      </c>
      <c r="B21" s="30" t="s">
        <v>35</v>
      </c>
      <c r="C21" s="79">
        <v>477332491533.64996</v>
      </c>
      <c r="D21" s="36">
        <v>550500000</v>
      </c>
      <c r="E21" s="58">
        <v>0</v>
      </c>
      <c r="F21" s="36">
        <f t="shared" si="0"/>
        <v>238666245.76682499</v>
      </c>
      <c r="G21" s="36">
        <f t="shared" si="1"/>
        <v>19888853.813902084</v>
      </c>
    </row>
    <row r="22" spans="1:12" x14ac:dyDescent="0.35">
      <c r="A22" s="32">
        <v>20</v>
      </c>
      <c r="B22" s="30" t="s">
        <v>36</v>
      </c>
      <c r="C22" s="79">
        <v>10025513104.709999</v>
      </c>
      <c r="D22" s="53">
        <v>0</v>
      </c>
      <c r="E22" s="58">
        <v>36000000</v>
      </c>
      <c r="F22" s="36">
        <f t="shared" si="0"/>
        <v>5012756.5523549998</v>
      </c>
      <c r="G22" s="36">
        <f t="shared" si="1"/>
        <v>417729.71269625</v>
      </c>
    </row>
    <row r="23" spans="1:12" x14ac:dyDescent="0.35">
      <c r="A23" s="32">
        <v>21</v>
      </c>
      <c r="B23" s="30" t="s">
        <v>37</v>
      </c>
      <c r="C23" s="79">
        <v>13855074123.640001</v>
      </c>
      <c r="D23" s="36">
        <v>36500000</v>
      </c>
      <c r="E23" s="58">
        <v>0</v>
      </c>
      <c r="F23" s="36">
        <f t="shared" si="0"/>
        <v>6927537.0618200004</v>
      </c>
      <c r="G23" s="36">
        <f t="shared" si="1"/>
        <v>577294.7551516667</v>
      </c>
    </row>
    <row r="24" spans="1:12" x14ac:dyDescent="0.35">
      <c r="A24" s="32">
        <v>22</v>
      </c>
      <c r="B24" s="30" t="s">
        <v>27</v>
      </c>
      <c r="C24" s="79">
        <v>4404925598.6999998</v>
      </c>
      <c r="D24" s="53">
        <v>0</v>
      </c>
      <c r="E24" s="58">
        <v>9000000</v>
      </c>
      <c r="F24" s="36">
        <f t="shared" si="0"/>
        <v>2202462.79935</v>
      </c>
      <c r="G24" s="36">
        <f t="shared" si="1"/>
        <v>183538.5666125</v>
      </c>
    </row>
    <row r="25" spans="1:12" ht="15" thickBot="1" x14ac:dyDescent="0.4">
      <c r="A25" s="32">
        <v>23</v>
      </c>
      <c r="B25" s="30" t="s">
        <v>52</v>
      </c>
      <c r="C25" s="79">
        <v>0</v>
      </c>
      <c r="D25" s="36">
        <v>9500000</v>
      </c>
      <c r="E25" s="58">
        <v>0</v>
      </c>
      <c r="F25" s="36">
        <f t="shared" si="0"/>
        <v>0</v>
      </c>
      <c r="G25" s="36">
        <f t="shared" si="1"/>
        <v>0</v>
      </c>
    </row>
    <row r="26" spans="1:12" ht="15" thickBot="1" x14ac:dyDescent="0.4">
      <c r="B26" s="41" t="s">
        <v>18</v>
      </c>
      <c r="C26" s="42">
        <f>SUM(C3:C25)</f>
        <v>2478153274520.6201</v>
      </c>
      <c r="D26" s="42">
        <f>SUM(D3:D25)</f>
        <v>2823000000</v>
      </c>
      <c r="E26" s="59">
        <f>SUM(E3:E25)</f>
        <v>675000000</v>
      </c>
      <c r="F26" s="42">
        <f>SUM(F3:F25)</f>
        <v>1239076637.2603102</v>
      </c>
      <c r="G26" s="43">
        <f>SUM(G3:G25)</f>
        <v>103256386.43835916</v>
      </c>
    </row>
    <row r="28" spans="1:12" ht="15" thickBot="1" x14ac:dyDescent="0.4">
      <c r="H28" s="31" t="s">
        <v>73</v>
      </c>
      <c r="K28" s="34">
        <v>5.0000000000000001E-4</v>
      </c>
    </row>
    <row r="29" spans="1:12" ht="15" thickBot="1" x14ac:dyDescent="0.4">
      <c r="H29" s="28" t="s">
        <v>62</v>
      </c>
      <c r="I29" s="29" t="s">
        <v>72</v>
      </c>
      <c r="J29" s="70" t="s">
        <v>31</v>
      </c>
      <c r="K29" s="14" t="s">
        <v>20</v>
      </c>
      <c r="L29" s="15" t="s">
        <v>21</v>
      </c>
    </row>
    <row r="30" spans="1:12" x14ac:dyDescent="0.35">
      <c r="G30" s="35">
        <v>1</v>
      </c>
      <c r="H30" s="37" t="str">
        <f>+B5</f>
        <v xml:space="preserve">COOPEALIANZA </v>
      </c>
      <c r="I30" s="38">
        <f>+C5</f>
        <v>351470272610.34003</v>
      </c>
      <c r="J30" s="38">
        <f>+D5</f>
        <v>550500000</v>
      </c>
      <c r="K30" s="39">
        <f t="shared" ref="K30:K39" si="2">+I30*$K$28</f>
        <v>175735136.30517003</v>
      </c>
      <c r="L30" s="40">
        <f>+K30/12</f>
        <v>14644594.692097502</v>
      </c>
    </row>
    <row r="31" spans="1:12" x14ac:dyDescent="0.35">
      <c r="G31" s="35">
        <v>2</v>
      </c>
      <c r="H31" s="37" t="str">
        <f t="shared" ref="H31:J33" si="3">+B9</f>
        <v xml:space="preserve">COOPEBANPO </v>
      </c>
      <c r="I31" s="38">
        <f>+C9</f>
        <v>47239672902.239998</v>
      </c>
      <c r="J31" s="38">
        <f t="shared" si="3"/>
        <v>100500000</v>
      </c>
      <c r="K31" s="39">
        <f t="shared" si="2"/>
        <v>23619836.45112</v>
      </c>
      <c r="L31" s="40">
        <f t="shared" ref="L31:L41" si="4">+K31/12</f>
        <v>1968319.70426</v>
      </c>
    </row>
    <row r="32" spans="1:12" x14ac:dyDescent="0.35">
      <c r="G32" s="35">
        <v>3</v>
      </c>
      <c r="H32" s="37" t="str">
        <f t="shared" si="3"/>
        <v xml:space="preserve">COOPECAJA </v>
      </c>
      <c r="I32" s="38">
        <f>+C10</f>
        <v>148369235979.94</v>
      </c>
      <c r="J32" s="38">
        <f t="shared" si="3"/>
        <v>100500000</v>
      </c>
      <c r="K32" s="39">
        <f t="shared" si="2"/>
        <v>74184617.989969999</v>
      </c>
      <c r="L32" s="40">
        <f t="shared" si="4"/>
        <v>6182051.4991641669</v>
      </c>
    </row>
    <row r="33" spans="7:12" x14ac:dyDescent="0.35">
      <c r="G33" s="35">
        <v>4</v>
      </c>
      <c r="H33" s="37" t="str">
        <f t="shared" si="3"/>
        <v xml:space="preserve">COOPECAR </v>
      </c>
      <c r="I33" s="38">
        <f>+C11</f>
        <v>6585584699.7800007</v>
      </c>
      <c r="J33" s="38">
        <f t="shared" si="3"/>
        <v>22500000</v>
      </c>
      <c r="K33" s="39">
        <f t="shared" si="2"/>
        <v>3292792.3498900002</v>
      </c>
      <c r="L33" s="40">
        <f t="shared" si="4"/>
        <v>274399.36249083333</v>
      </c>
    </row>
    <row r="34" spans="7:12" x14ac:dyDescent="0.35">
      <c r="G34" s="35">
        <v>5</v>
      </c>
      <c r="H34" s="37" t="str">
        <f>+B16</f>
        <v xml:space="preserve">COOPEMEDICOS </v>
      </c>
      <c r="I34" s="38">
        <f>+C16</f>
        <v>25812328987.759998</v>
      </c>
      <c r="J34" s="38">
        <f>+D16</f>
        <v>50500000</v>
      </c>
      <c r="K34" s="39">
        <f t="shared" si="2"/>
        <v>12906164.49388</v>
      </c>
      <c r="L34" s="40">
        <f t="shared" si="4"/>
        <v>1075513.7078233333</v>
      </c>
    </row>
    <row r="35" spans="7:12" x14ac:dyDescent="0.35">
      <c r="G35" s="35">
        <v>6</v>
      </c>
      <c r="H35" s="37" t="str">
        <f>+B18</f>
        <v xml:space="preserve">COOPENAE </v>
      </c>
      <c r="I35" s="38">
        <f>+C18</f>
        <v>550484733780.16992</v>
      </c>
      <c r="J35" s="38">
        <f>+D18</f>
        <v>550500000</v>
      </c>
      <c r="K35" s="39">
        <f t="shared" si="2"/>
        <v>275242366.89008498</v>
      </c>
      <c r="L35" s="40">
        <f t="shared" si="4"/>
        <v>22936863.907507081</v>
      </c>
    </row>
    <row r="36" spans="7:12" x14ac:dyDescent="0.35">
      <c r="G36" s="35">
        <v>7</v>
      </c>
      <c r="H36" s="37" t="str">
        <f>+B23</f>
        <v xml:space="preserve">CREDECOOP </v>
      </c>
      <c r="I36" s="38">
        <f>+C23</f>
        <v>13855074123.640001</v>
      </c>
      <c r="J36" s="38">
        <f>+D23</f>
        <v>36500000</v>
      </c>
      <c r="K36" s="39">
        <f t="shared" si="2"/>
        <v>6927537.0618200004</v>
      </c>
      <c r="L36" s="40">
        <f t="shared" si="4"/>
        <v>577294.7551516667</v>
      </c>
    </row>
    <row r="37" spans="7:12" x14ac:dyDescent="0.35">
      <c r="G37" s="35">
        <v>8</v>
      </c>
      <c r="H37" s="37" t="str">
        <f>+B3</f>
        <v>COOCIQUE</v>
      </c>
      <c r="I37" s="38">
        <f>+C3</f>
        <v>179990000064.97</v>
      </c>
      <c r="J37" s="38">
        <v>200500000</v>
      </c>
      <c r="K37" s="39">
        <f t="shared" si="2"/>
        <v>89995000.032485008</v>
      </c>
      <c r="L37" s="40">
        <f t="shared" si="4"/>
        <v>7499583.3360404177</v>
      </c>
    </row>
    <row r="38" spans="7:12" x14ac:dyDescent="0.35">
      <c r="G38" s="35">
        <v>9</v>
      </c>
      <c r="H38" s="37" t="str">
        <f>+B21</f>
        <v xml:space="preserve">COOPESERVIDORES </v>
      </c>
      <c r="I38" s="38">
        <f>+C21</f>
        <v>477332491533.64996</v>
      </c>
      <c r="J38" s="38">
        <v>550500000</v>
      </c>
      <c r="K38" s="39">
        <f t="shared" si="2"/>
        <v>238666245.76682499</v>
      </c>
      <c r="L38" s="40">
        <f t="shared" si="4"/>
        <v>19888853.813902084</v>
      </c>
    </row>
    <row r="39" spans="7:12" x14ac:dyDescent="0.35">
      <c r="G39" s="35">
        <v>10</v>
      </c>
      <c r="H39" s="37" t="str" cm="1">
        <f t="array" ref="H39:I39">+B17:C17</f>
        <v xml:space="preserve">COOPEMEP </v>
      </c>
      <c r="I39" s="38">
        <v>84872440005.229996</v>
      </c>
      <c r="J39" s="38">
        <v>100500000</v>
      </c>
      <c r="K39" s="39">
        <f t="shared" si="2"/>
        <v>42436220.002614997</v>
      </c>
      <c r="L39" s="40">
        <f t="shared" si="4"/>
        <v>3536351.666884583</v>
      </c>
    </row>
    <row r="40" spans="7:12" x14ac:dyDescent="0.35">
      <c r="G40" s="35">
        <v>11</v>
      </c>
      <c r="H40" s="37" t="str" cm="1">
        <f t="array" ref="H40:I40">+B25:C25</f>
        <v>COOPEASAMBLEA</v>
      </c>
      <c r="I40" s="38">
        <v>0</v>
      </c>
      <c r="J40" s="38">
        <v>9500000</v>
      </c>
      <c r="K40" s="39">
        <f t="shared" ref="K40" si="5">+I40*$K$28</f>
        <v>0</v>
      </c>
      <c r="L40" s="40">
        <f t="shared" si="4"/>
        <v>0</v>
      </c>
    </row>
    <row r="41" spans="7:12" ht="15" thickBot="1" x14ac:dyDescent="0.4">
      <c r="G41" s="35">
        <v>12</v>
      </c>
      <c r="H41" s="44" t="str" cm="1">
        <f t="array" ref="H41:I41">+B7:C7</f>
        <v xml:space="preserve">COOPEANDE Nº 1 </v>
      </c>
      <c r="I41" s="38">
        <v>406961275292.63</v>
      </c>
      <c r="J41" s="38">
        <v>550500000</v>
      </c>
      <c r="K41" s="39">
        <f>+I41*$K$28</f>
        <v>203480637.64631501</v>
      </c>
      <c r="L41" s="40">
        <f t="shared" si="4"/>
        <v>16956719.803859584</v>
      </c>
    </row>
    <row r="42" spans="7:12" ht="15" thickBot="1" x14ac:dyDescent="0.4">
      <c r="H42" s="41" t="s">
        <v>53</v>
      </c>
      <c r="I42" s="42">
        <f>SUM(I30:I41)</f>
        <v>2292973109980.3496</v>
      </c>
      <c r="J42" s="42">
        <f>SUM(J30:J41)</f>
        <v>2823000000</v>
      </c>
      <c r="K42" s="42">
        <f>SUM(K30:K41)</f>
        <v>1146486554.990175</v>
      </c>
      <c r="L42" s="43">
        <f>SUM(L30:L41)</f>
        <v>95540546.249181241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79F30-9DCD-4133-9D89-12AC4DD7DEB7}">
  <dimension ref="A1:N42"/>
  <sheetViews>
    <sheetView topLeftCell="B1" workbookViewId="0">
      <selection activeCell="H29" sqref="H29"/>
    </sheetView>
  </sheetViews>
  <sheetFormatPr baseColWidth="10" defaultColWidth="11.453125" defaultRowHeight="14.5" x14ac:dyDescent="0.35"/>
  <cols>
    <col min="1" max="1" width="3.1796875" style="30" customWidth="1"/>
    <col min="2" max="2" width="22.26953125" style="30" customWidth="1"/>
    <col min="3" max="3" width="20.81640625" style="30" bestFit="1" customWidth="1"/>
    <col min="4" max="4" width="22.453125" style="30" bestFit="1" customWidth="1"/>
    <col min="5" max="5" width="22.453125" style="30" customWidth="1"/>
    <col min="6" max="6" width="22.54296875" style="30" bestFit="1" customWidth="1"/>
    <col min="7" max="7" width="24.453125" style="30" bestFit="1" customWidth="1"/>
    <col min="8" max="8" width="14.81640625" style="30" bestFit="1" customWidth="1"/>
    <col min="9" max="9" width="13.453125" style="30" bestFit="1" customWidth="1"/>
    <col min="10" max="10" width="24.26953125" style="30" customWidth="1"/>
    <col min="11" max="11" width="22.453125" style="30" bestFit="1" customWidth="1"/>
    <col min="12" max="12" width="22.54296875" style="30" bestFit="1" customWidth="1"/>
    <col min="13" max="13" width="16.1796875" style="30" bestFit="1" customWidth="1"/>
    <col min="14" max="14" width="15" style="30" bestFit="1" customWidth="1"/>
    <col min="15" max="16384" width="11.453125" style="30"/>
  </cols>
  <sheetData>
    <row r="1" spans="1:14" ht="15" thickBot="1" x14ac:dyDescent="0.4">
      <c r="B1" s="31" t="s">
        <v>73</v>
      </c>
      <c r="C1" s="31"/>
      <c r="H1" s="34">
        <v>5.0000000000000001E-4</v>
      </c>
    </row>
    <row r="2" spans="1:14" ht="28.5" thickBot="1" x14ac:dyDescent="0.4">
      <c r="B2" s="28" t="s">
        <v>67</v>
      </c>
      <c r="C2" s="81" t="s">
        <v>75</v>
      </c>
      <c r="D2" s="29" t="s">
        <v>72</v>
      </c>
      <c r="E2" s="29" t="s">
        <v>76</v>
      </c>
      <c r="F2" s="70" t="s">
        <v>31</v>
      </c>
      <c r="G2" s="70" t="s">
        <v>65</v>
      </c>
      <c r="H2" s="15" t="s">
        <v>20</v>
      </c>
      <c r="I2" s="15" t="s">
        <v>21</v>
      </c>
      <c r="J2" s="80">
        <v>1000</v>
      </c>
      <c r="K2" s="47" t="s">
        <v>60</v>
      </c>
      <c r="L2" s="50"/>
      <c r="M2" s="51"/>
    </row>
    <row r="3" spans="1:14" ht="15" customHeight="1" x14ac:dyDescent="0.35">
      <c r="A3" s="32">
        <v>1</v>
      </c>
      <c r="B3" s="30" t="s">
        <v>23</v>
      </c>
      <c r="C3" s="36">
        <v>64192275693.279999</v>
      </c>
      <c r="D3" s="79">
        <v>179990000064.97</v>
      </c>
      <c r="E3" s="79">
        <f>+C3+D3</f>
        <v>244182275758.25</v>
      </c>
      <c r="F3" s="36">
        <v>200500000</v>
      </c>
      <c r="G3" s="36">
        <v>0</v>
      </c>
      <c r="H3" s="36">
        <f>+E3*$H$1</f>
        <v>122091137.879125</v>
      </c>
      <c r="I3" s="36">
        <f>+H3/12</f>
        <v>10174261.489927083</v>
      </c>
      <c r="K3" s="48" t="s">
        <v>61</v>
      </c>
      <c r="L3" s="49" t="s">
        <v>78</v>
      </c>
      <c r="M3" s="49" t="s">
        <v>59</v>
      </c>
    </row>
    <row r="4" spans="1:14" x14ac:dyDescent="0.35">
      <c r="A4" s="32">
        <v>2</v>
      </c>
      <c r="B4" s="30" t="s">
        <v>24</v>
      </c>
      <c r="C4" s="36">
        <v>7346458084.25</v>
      </c>
      <c r="D4" s="79">
        <v>15676072007.530001</v>
      </c>
      <c r="E4" s="79">
        <f t="shared" ref="E4:E25" si="0">+C4+D4</f>
        <v>23022530091.779999</v>
      </c>
      <c r="F4" s="53">
        <v>0</v>
      </c>
      <c r="G4" s="58">
        <v>100000000</v>
      </c>
      <c r="H4" s="36">
        <f t="shared" ref="H4:H25" si="1">+E4*$H$1</f>
        <v>11511265.04589</v>
      </c>
      <c r="I4" s="36">
        <f t="shared" ref="I4:I25" si="2">+H4/12</f>
        <v>959272.08715749998</v>
      </c>
      <c r="K4" s="60">
        <v>2020</v>
      </c>
      <c r="L4" s="61">
        <f>+SUM(K30:K36)</f>
        <v>1577328223648.53</v>
      </c>
      <c r="M4" s="62">
        <f>+SUM(M30:M36)</f>
        <v>788664111.82426488</v>
      </c>
      <c r="N4" s="33"/>
    </row>
    <row r="5" spans="1:14" x14ac:dyDescent="0.35">
      <c r="A5" s="32">
        <v>3</v>
      </c>
      <c r="B5" s="30" t="s">
        <v>43</v>
      </c>
      <c r="C5" s="36">
        <v>168696024414.29001</v>
      </c>
      <c r="D5" s="79">
        <v>351470272610.34003</v>
      </c>
      <c r="E5" s="79">
        <f t="shared" si="0"/>
        <v>520166297024.63</v>
      </c>
      <c r="F5" s="36">
        <v>550500000</v>
      </c>
      <c r="G5" s="58">
        <v>0</v>
      </c>
      <c r="H5" s="36">
        <f t="shared" si="1"/>
        <v>260083148.51231501</v>
      </c>
      <c r="I5" s="36">
        <f t="shared" si="2"/>
        <v>21673595.709359583</v>
      </c>
      <c r="K5" s="63">
        <v>2021</v>
      </c>
      <c r="L5" s="46">
        <f>+K42</f>
        <v>3170457131117.73</v>
      </c>
      <c r="M5" s="64">
        <f>+M42</f>
        <v>1585228565.5588651</v>
      </c>
    </row>
    <row r="6" spans="1:14" x14ac:dyDescent="0.35">
      <c r="A6" s="32">
        <v>4</v>
      </c>
      <c r="B6" s="30" t="s">
        <v>34</v>
      </c>
      <c r="C6" s="36">
        <v>4018535609.79</v>
      </c>
      <c r="D6" s="79">
        <v>25209960680.039997</v>
      </c>
      <c r="E6" s="79">
        <f t="shared" si="0"/>
        <v>29228496289.829998</v>
      </c>
      <c r="F6" s="53">
        <v>0</v>
      </c>
      <c r="G6" s="58">
        <v>100000000</v>
      </c>
      <c r="H6" s="36">
        <f t="shared" si="1"/>
        <v>14614248.144915</v>
      </c>
      <c r="I6" s="36">
        <f t="shared" si="2"/>
        <v>1217854.01207625</v>
      </c>
      <c r="K6" s="65">
        <v>2022</v>
      </c>
      <c r="L6" s="52">
        <f>+K42</f>
        <v>3170457131117.73</v>
      </c>
      <c r="M6" s="66">
        <f>+M42</f>
        <v>1585228565.5588651</v>
      </c>
    </row>
    <row r="7" spans="1:14" x14ac:dyDescent="0.35">
      <c r="A7" s="32">
        <v>5</v>
      </c>
      <c r="B7" s="30" t="s">
        <v>38</v>
      </c>
      <c r="C7" s="36">
        <v>195616561413.17999</v>
      </c>
      <c r="D7" s="79">
        <v>406961275292.63</v>
      </c>
      <c r="E7" s="79">
        <f t="shared" si="0"/>
        <v>602577836705.81006</v>
      </c>
      <c r="F7" s="36">
        <v>550500000</v>
      </c>
      <c r="G7" s="58">
        <v>0</v>
      </c>
      <c r="H7" s="36">
        <f t="shared" si="1"/>
        <v>301288918.35290504</v>
      </c>
      <c r="I7" s="36">
        <f t="shared" si="2"/>
        <v>25107409.862742085</v>
      </c>
      <c r="K7" s="63">
        <v>2023</v>
      </c>
      <c r="L7" s="46">
        <f>+E26</f>
        <v>3408732350382.6699</v>
      </c>
      <c r="M7" s="64">
        <f>+H26</f>
        <v>1704366175.191335</v>
      </c>
    </row>
    <row r="8" spans="1:14" x14ac:dyDescent="0.35">
      <c r="A8" s="32">
        <v>6</v>
      </c>
      <c r="B8" s="30" t="s">
        <v>25</v>
      </c>
      <c r="C8" s="36">
        <v>10987807399.75</v>
      </c>
      <c r="D8" s="79">
        <v>26738453101.759998</v>
      </c>
      <c r="E8" s="79">
        <f t="shared" si="0"/>
        <v>37726260501.509995</v>
      </c>
      <c r="F8" s="53">
        <v>0</v>
      </c>
      <c r="G8" s="58">
        <v>100000000</v>
      </c>
      <c r="H8" s="36">
        <f t="shared" si="1"/>
        <v>18863130.250754997</v>
      </c>
      <c r="I8" s="36">
        <f t="shared" si="2"/>
        <v>1571927.5208962497</v>
      </c>
      <c r="K8" s="67">
        <v>2024</v>
      </c>
      <c r="L8" s="68">
        <f>+E26</f>
        <v>3408732350382.6699</v>
      </c>
      <c r="M8" s="69">
        <f>+H26</f>
        <v>1704366175.191335</v>
      </c>
    </row>
    <row r="9" spans="1:14" x14ac:dyDescent="0.35">
      <c r="A9" s="32">
        <v>7</v>
      </c>
      <c r="B9" s="30" t="s">
        <v>39</v>
      </c>
      <c r="C9" s="36">
        <v>12824689408</v>
      </c>
      <c r="D9" s="79">
        <v>47239672902.239998</v>
      </c>
      <c r="E9" s="79">
        <f t="shared" si="0"/>
        <v>60064362310.239998</v>
      </c>
      <c r="F9" s="36">
        <v>100500000</v>
      </c>
      <c r="G9" s="58">
        <v>0</v>
      </c>
      <c r="H9" s="36">
        <f t="shared" si="1"/>
        <v>30032181.15512</v>
      </c>
      <c r="I9" s="36">
        <f t="shared" si="2"/>
        <v>2502681.7629266665</v>
      </c>
    </row>
    <row r="10" spans="1:14" x14ac:dyDescent="0.35">
      <c r="A10" s="32">
        <v>8</v>
      </c>
      <c r="B10" s="30" t="s">
        <v>44</v>
      </c>
      <c r="C10" s="36">
        <v>14528966620.799999</v>
      </c>
      <c r="D10" s="79">
        <v>148369235979.94</v>
      </c>
      <c r="E10" s="79">
        <f t="shared" si="0"/>
        <v>162898202600.73999</v>
      </c>
      <c r="F10" s="36">
        <v>100500000</v>
      </c>
      <c r="G10" s="58">
        <v>0</v>
      </c>
      <c r="H10" s="36">
        <f t="shared" si="1"/>
        <v>81449101.300369993</v>
      </c>
      <c r="I10" s="36">
        <f t="shared" si="2"/>
        <v>6787425.1083641658</v>
      </c>
    </row>
    <row r="11" spans="1:14" x14ac:dyDescent="0.35">
      <c r="A11" s="32">
        <v>9</v>
      </c>
      <c r="B11" s="30" t="s">
        <v>40</v>
      </c>
      <c r="C11" s="36">
        <v>1884870719.6700001</v>
      </c>
      <c r="D11" s="79">
        <v>6585584699.7800007</v>
      </c>
      <c r="E11" s="79">
        <f t="shared" si="0"/>
        <v>8470455419.4500008</v>
      </c>
      <c r="F11" s="36">
        <v>22500000</v>
      </c>
      <c r="G11" s="58">
        <v>0</v>
      </c>
      <c r="H11" s="36">
        <f t="shared" si="1"/>
        <v>4235227.7097250009</v>
      </c>
      <c r="I11" s="36">
        <f t="shared" si="2"/>
        <v>352935.64247708343</v>
      </c>
    </row>
    <row r="12" spans="1:14" x14ac:dyDescent="0.35">
      <c r="A12" s="32">
        <v>10</v>
      </c>
      <c r="B12" s="30" t="s">
        <v>45</v>
      </c>
      <c r="C12" s="36">
        <v>4547829829.2300005</v>
      </c>
      <c r="D12" s="79">
        <v>31597259456.18</v>
      </c>
      <c r="E12" s="79">
        <f t="shared" si="0"/>
        <v>36145089285.410004</v>
      </c>
      <c r="F12" s="53">
        <v>0</v>
      </c>
      <c r="G12" s="58">
        <v>100000000</v>
      </c>
      <c r="H12" s="36">
        <f t="shared" si="1"/>
        <v>18072544.642705001</v>
      </c>
      <c r="I12" s="36">
        <f t="shared" si="2"/>
        <v>1506045.3868920833</v>
      </c>
    </row>
    <row r="13" spans="1:14" x14ac:dyDescent="0.35">
      <c r="A13" s="32">
        <v>11</v>
      </c>
      <c r="B13" s="30" t="s">
        <v>41</v>
      </c>
      <c r="C13" s="36">
        <v>5965599200.2600002</v>
      </c>
      <c r="D13" s="79">
        <v>20156289808.600002</v>
      </c>
      <c r="E13" s="79">
        <f t="shared" si="0"/>
        <v>26121889008.860001</v>
      </c>
      <c r="F13" s="53">
        <v>0</v>
      </c>
      <c r="G13" s="58">
        <v>100000000</v>
      </c>
      <c r="H13" s="36">
        <f t="shared" si="1"/>
        <v>13060944.50443</v>
      </c>
      <c r="I13" s="36">
        <f t="shared" si="2"/>
        <v>1088412.0420358332</v>
      </c>
    </row>
    <row r="14" spans="1:14" x14ac:dyDescent="0.35">
      <c r="A14" s="32">
        <v>12</v>
      </c>
      <c r="B14" s="30" t="s">
        <v>42</v>
      </c>
      <c r="C14" s="36">
        <v>4964014019.8100004</v>
      </c>
      <c r="D14" s="79">
        <v>22908745748.879997</v>
      </c>
      <c r="E14" s="79">
        <f t="shared" si="0"/>
        <v>27872759768.689999</v>
      </c>
      <c r="F14" s="53">
        <v>0</v>
      </c>
      <c r="G14" s="58">
        <v>100000000</v>
      </c>
      <c r="H14" s="36">
        <f t="shared" si="1"/>
        <v>13936379.884344999</v>
      </c>
      <c r="I14" s="36">
        <f t="shared" si="2"/>
        <v>1161364.9903620833</v>
      </c>
    </row>
    <row r="15" spans="1:14" x14ac:dyDescent="0.35">
      <c r="A15" s="32">
        <v>13</v>
      </c>
      <c r="B15" s="30" t="s">
        <v>46</v>
      </c>
      <c r="C15" s="36">
        <v>827978880.57000005</v>
      </c>
      <c r="D15" s="79">
        <v>12503080042.799999</v>
      </c>
      <c r="E15" s="79">
        <f t="shared" si="0"/>
        <v>13331058923.369999</v>
      </c>
      <c r="F15" s="53">
        <v>0</v>
      </c>
      <c r="G15" s="58">
        <v>36000000</v>
      </c>
      <c r="H15" s="36">
        <f t="shared" si="1"/>
        <v>6665529.461685</v>
      </c>
      <c r="I15" s="36">
        <f t="shared" si="2"/>
        <v>555460.78847375</v>
      </c>
    </row>
    <row r="16" spans="1:14" x14ac:dyDescent="0.35">
      <c r="A16" s="32">
        <v>14</v>
      </c>
      <c r="B16" s="30" t="s">
        <v>47</v>
      </c>
      <c r="C16" s="36">
        <v>7133017379.8399992</v>
      </c>
      <c r="D16" s="79">
        <v>25812328987.759998</v>
      </c>
      <c r="E16" s="79">
        <f t="shared" si="0"/>
        <v>32945346367.599998</v>
      </c>
      <c r="F16" s="36">
        <v>50500000</v>
      </c>
      <c r="G16" s="58">
        <v>0</v>
      </c>
      <c r="H16" s="36">
        <f t="shared" si="1"/>
        <v>16472673.183799999</v>
      </c>
      <c r="I16" s="36">
        <f t="shared" si="2"/>
        <v>1372722.7653166666</v>
      </c>
    </row>
    <row r="17" spans="1:14" x14ac:dyDescent="0.35">
      <c r="A17" s="32">
        <v>15</v>
      </c>
      <c r="B17" s="30" t="s">
        <v>48</v>
      </c>
      <c r="C17" s="36">
        <v>15304763020.18</v>
      </c>
      <c r="D17" s="79">
        <v>84872440005.229996</v>
      </c>
      <c r="E17" s="79">
        <f t="shared" si="0"/>
        <v>100177203025.41</v>
      </c>
      <c r="F17" s="36">
        <v>100500000</v>
      </c>
      <c r="G17" s="58">
        <v>0</v>
      </c>
      <c r="H17" s="36">
        <f t="shared" si="1"/>
        <v>50088601.512705006</v>
      </c>
      <c r="I17" s="36">
        <f t="shared" si="2"/>
        <v>4174050.1260587503</v>
      </c>
    </row>
    <row r="18" spans="1:14" x14ac:dyDescent="0.35">
      <c r="A18" s="32">
        <v>16</v>
      </c>
      <c r="B18" s="30" t="s">
        <v>49</v>
      </c>
      <c r="C18" s="36">
        <v>219465873077.34</v>
      </c>
      <c r="D18" s="79">
        <v>550484733780.16992</v>
      </c>
      <c r="E18" s="79">
        <f t="shared" si="0"/>
        <v>769950606857.50989</v>
      </c>
      <c r="F18" s="36">
        <v>550500000</v>
      </c>
      <c r="G18" s="58">
        <v>0</v>
      </c>
      <c r="H18" s="36">
        <f t="shared" si="1"/>
        <v>384975303.42875493</v>
      </c>
      <c r="I18" s="36">
        <f t="shared" si="2"/>
        <v>32081275.285729576</v>
      </c>
    </row>
    <row r="19" spans="1:14" x14ac:dyDescent="0.35">
      <c r="A19" s="32">
        <v>17</v>
      </c>
      <c r="B19" s="30" t="s">
        <v>50</v>
      </c>
      <c r="C19" s="36">
        <v>8649245493.25</v>
      </c>
      <c r="D19" s="79">
        <v>5987306831.5700006</v>
      </c>
      <c r="E19" s="79">
        <f t="shared" si="0"/>
        <v>14636552324.82</v>
      </c>
      <c r="F19" s="53">
        <v>0</v>
      </c>
      <c r="G19" s="58">
        <v>36000000</v>
      </c>
      <c r="H19" s="36">
        <f t="shared" si="1"/>
        <v>7318276.1624100003</v>
      </c>
      <c r="I19" s="36">
        <f t="shared" si="2"/>
        <v>609856.34686749999</v>
      </c>
    </row>
    <row r="20" spans="1:14" x14ac:dyDescent="0.35">
      <c r="A20" s="32">
        <v>18</v>
      </c>
      <c r="B20" s="30" t="s">
        <v>51</v>
      </c>
      <c r="C20" s="36">
        <v>3327575766.77</v>
      </c>
      <c r="D20" s="79">
        <v>9972558159.5</v>
      </c>
      <c r="E20" s="79">
        <f t="shared" si="0"/>
        <v>13300133926.27</v>
      </c>
      <c r="F20" s="53">
        <v>0</v>
      </c>
      <c r="G20" s="58">
        <v>36000000</v>
      </c>
      <c r="H20" s="36">
        <f t="shared" si="1"/>
        <v>6650066.9631350003</v>
      </c>
      <c r="I20" s="36">
        <f t="shared" si="2"/>
        <v>554172.24692791665</v>
      </c>
    </row>
    <row r="21" spans="1:14" x14ac:dyDescent="0.35">
      <c r="A21" s="32">
        <v>19</v>
      </c>
      <c r="B21" s="30" t="s">
        <v>35</v>
      </c>
      <c r="C21" s="36">
        <v>168859100446.07999</v>
      </c>
      <c r="D21" s="79">
        <v>477332491533.64996</v>
      </c>
      <c r="E21" s="79">
        <f t="shared" si="0"/>
        <v>646191591979.72998</v>
      </c>
      <c r="F21" s="36">
        <v>550500000</v>
      </c>
      <c r="G21" s="58">
        <v>0</v>
      </c>
      <c r="H21" s="36">
        <f t="shared" si="1"/>
        <v>323095795.98986501</v>
      </c>
      <c r="I21" s="36">
        <f t="shared" si="2"/>
        <v>26924649.665822085</v>
      </c>
    </row>
    <row r="22" spans="1:14" x14ac:dyDescent="0.35">
      <c r="A22" s="32">
        <v>20</v>
      </c>
      <c r="B22" s="30" t="s">
        <v>36</v>
      </c>
      <c r="C22" s="36">
        <v>941134177.72000003</v>
      </c>
      <c r="D22" s="79">
        <v>10025513104.709999</v>
      </c>
      <c r="E22" s="79">
        <f t="shared" si="0"/>
        <v>10966647282.429998</v>
      </c>
      <c r="F22" s="53">
        <v>0</v>
      </c>
      <c r="G22" s="58">
        <v>36000000</v>
      </c>
      <c r="H22" s="36">
        <f t="shared" si="1"/>
        <v>5483323.6412149994</v>
      </c>
      <c r="I22" s="36">
        <f t="shared" si="2"/>
        <v>456943.63676791661</v>
      </c>
    </row>
    <row r="23" spans="1:14" x14ac:dyDescent="0.35">
      <c r="A23" s="32">
        <v>21</v>
      </c>
      <c r="B23" s="30" t="s">
        <v>37</v>
      </c>
      <c r="C23" s="36">
        <v>8977878944.7199993</v>
      </c>
      <c r="D23" s="79">
        <v>13855074123.640001</v>
      </c>
      <c r="E23" s="79">
        <f t="shared" si="0"/>
        <v>22832953068.360001</v>
      </c>
      <c r="F23" s="36">
        <v>36500000</v>
      </c>
      <c r="G23" s="58">
        <v>0</v>
      </c>
      <c r="H23" s="36">
        <f t="shared" si="1"/>
        <v>11416476.53418</v>
      </c>
      <c r="I23" s="36">
        <f t="shared" si="2"/>
        <v>951373.04451500007</v>
      </c>
    </row>
    <row r="24" spans="1:14" x14ac:dyDescent="0.35">
      <c r="A24" s="32">
        <v>22</v>
      </c>
      <c r="B24" s="30" t="s">
        <v>27</v>
      </c>
      <c r="C24" s="36">
        <v>1518876263.27</v>
      </c>
      <c r="D24" s="79">
        <v>4404925598.6999998</v>
      </c>
      <c r="E24" s="79">
        <f t="shared" si="0"/>
        <v>5923801861.9699993</v>
      </c>
      <c r="F24" s="53">
        <v>0</v>
      </c>
      <c r="G24" s="58">
        <v>22000000</v>
      </c>
      <c r="H24" s="36">
        <f t="shared" si="1"/>
        <v>2961900.9309849995</v>
      </c>
      <c r="I24" s="36">
        <f t="shared" si="2"/>
        <v>246825.07758208329</v>
      </c>
    </row>
    <row r="25" spans="1:14" ht="15" thickBot="1" x14ac:dyDescent="0.4">
      <c r="A25" s="32">
        <v>23</v>
      </c>
      <c r="B25" s="30" t="s">
        <v>52</v>
      </c>
      <c r="C25" s="36"/>
      <c r="D25" s="79">
        <v>0</v>
      </c>
      <c r="E25" s="79">
        <f t="shared" si="0"/>
        <v>0</v>
      </c>
      <c r="F25" s="36">
        <v>9500000</v>
      </c>
      <c r="G25" s="58">
        <v>0</v>
      </c>
      <c r="H25" s="36">
        <f t="shared" si="1"/>
        <v>0</v>
      </c>
      <c r="I25" s="36">
        <f t="shared" si="2"/>
        <v>0</v>
      </c>
    </row>
    <row r="26" spans="1:14" ht="15" thickBot="1" x14ac:dyDescent="0.4">
      <c r="B26" s="41" t="s">
        <v>18</v>
      </c>
      <c r="C26" s="82">
        <f t="shared" ref="C26:I26" si="3">SUM(C3:C25)</f>
        <v>930579075862.04993</v>
      </c>
      <c r="D26" s="42">
        <f t="shared" si="3"/>
        <v>2478153274520.6201</v>
      </c>
      <c r="E26" s="42">
        <f t="shared" si="3"/>
        <v>3408732350382.6699</v>
      </c>
      <c r="F26" s="42">
        <f t="shared" si="3"/>
        <v>2823000000</v>
      </c>
      <c r="G26" s="59">
        <f t="shared" si="3"/>
        <v>766000000</v>
      </c>
      <c r="H26" s="42">
        <f t="shared" si="3"/>
        <v>1704366175.191335</v>
      </c>
      <c r="I26" s="43">
        <f t="shared" si="3"/>
        <v>142030514.59927794</v>
      </c>
    </row>
    <row r="28" spans="1:14" ht="15" thickBot="1" x14ac:dyDescent="0.4">
      <c r="J28" s="31" t="s">
        <v>77</v>
      </c>
      <c r="M28" s="34">
        <v>5.0000000000000001E-4</v>
      </c>
    </row>
    <row r="29" spans="1:14" ht="15" thickBot="1" x14ac:dyDescent="0.4">
      <c r="J29" s="28" t="s">
        <v>62</v>
      </c>
      <c r="K29" s="29" t="s">
        <v>78</v>
      </c>
      <c r="L29" s="70" t="s">
        <v>31</v>
      </c>
      <c r="M29" s="14" t="s">
        <v>20</v>
      </c>
      <c r="N29" s="15" t="s">
        <v>21</v>
      </c>
    </row>
    <row r="30" spans="1:14" x14ac:dyDescent="0.35">
      <c r="I30" s="35">
        <v>1</v>
      </c>
      <c r="J30" s="37" t="str">
        <f>+B5</f>
        <v xml:space="preserve">COOPEALIANZA </v>
      </c>
      <c r="K30" s="38">
        <f>+E5</f>
        <v>520166297024.63</v>
      </c>
      <c r="L30" s="38">
        <f>+F5</f>
        <v>550500000</v>
      </c>
      <c r="M30" s="39">
        <f t="shared" ref="M30:M41" si="4">+K30*$M$28</f>
        <v>260083148.51231501</v>
      </c>
      <c r="N30" s="40">
        <f>+M30/12</f>
        <v>21673595.709359583</v>
      </c>
    </row>
    <row r="31" spans="1:14" x14ac:dyDescent="0.35">
      <c r="I31" s="35">
        <v>2</v>
      </c>
      <c r="J31" s="37" t="str">
        <f>+B9</f>
        <v xml:space="preserve">COOPEBANPO </v>
      </c>
      <c r="K31" s="38">
        <f>+E9</f>
        <v>60064362310.239998</v>
      </c>
      <c r="L31" s="38">
        <f t="shared" ref="L31:L33" si="5">+F9</f>
        <v>100500000</v>
      </c>
      <c r="M31" s="39">
        <f t="shared" si="4"/>
        <v>30032181.15512</v>
      </c>
      <c r="N31" s="40">
        <f t="shared" ref="N31:N41" si="6">+M31/12</f>
        <v>2502681.7629266665</v>
      </c>
    </row>
    <row r="32" spans="1:14" x14ac:dyDescent="0.35">
      <c r="I32" s="35">
        <v>3</v>
      </c>
      <c r="J32" s="37" t="str">
        <f>+B10</f>
        <v xml:space="preserve">COOPECAJA </v>
      </c>
      <c r="K32" s="38">
        <f>+E10</f>
        <v>162898202600.73999</v>
      </c>
      <c r="L32" s="38">
        <f t="shared" si="5"/>
        <v>100500000</v>
      </c>
      <c r="M32" s="39">
        <f t="shared" si="4"/>
        <v>81449101.300369993</v>
      </c>
      <c r="N32" s="40">
        <f t="shared" si="6"/>
        <v>6787425.1083641658</v>
      </c>
    </row>
    <row r="33" spans="9:14" x14ac:dyDescent="0.35">
      <c r="I33" s="35">
        <v>4</v>
      </c>
      <c r="J33" s="37" t="str">
        <f>+B11</f>
        <v xml:space="preserve">COOPECAR </v>
      </c>
      <c r="K33" s="38">
        <f>+E11</f>
        <v>8470455419.4500008</v>
      </c>
      <c r="L33" s="38">
        <f t="shared" si="5"/>
        <v>22500000</v>
      </c>
      <c r="M33" s="39">
        <f t="shared" si="4"/>
        <v>4235227.7097250009</v>
      </c>
      <c r="N33" s="40">
        <f t="shared" si="6"/>
        <v>352935.64247708343</v>
      </c>
    </row>
    <row r="34" spans="9:14" x14ac:dyDescent="0.35">
      <c r="I34" s="35">
        <v>5</v>
      </c>
      <c r="J34" s="37" t="str">
        <f>+B16</f>
        <v xml:space="preserve">COOPEMEDICOS </v>
      </c>
      <c r="K34" s="38">
        <f>+E16</f>
        <v>32945346367.599998</v>
      </c>
      <c r="L34" s="38">
        <f>+F16</f>
        <v>50500000</v>
      </c>
      <c r="M34" s="39">
        <f t="shared" si="4"/>
        <v>16472673.183799999</v>
      </c>
      <c r="N34" s="40">
        <f t="shared" si="6"/>
        <v>1372722.7653166666</v>
      </c>
    </row>
    <row r="35" spans="9:14" x14ac:dyDescent="0.35">
      <c r="I35" s="35">
        <v>6</v>
      </c>
      <c r="J35" s="37" t="str">
        <f>+B18</f>
        <v xml:space="preserve">COOPENAE </v>
      </c>
      <c r="K35" s="38">
        <f>+E18</f>
        <v>769950606857.50989</v>
      </c>
      <c r="L35" s="38">
        <f>+F18</f>
        <v>550500000</v>
      </c>
      <c r="M35" s="39">
        <f t="shared" si="4"/>
        <v>384975303.42875493</v>
      </c>
      <c r="N35" s="40">
        <f t="shared" si="6"/>
        <v>32081275.285729576</v>
      </c>
    </row>
    <row r="36" spans="9:14" x14ac:dyDescent="0.35">
      <c r="I36" s="35">
        <v>7</v>
      </c>
      <c r="J36" s="37" t="str">
        <f>+B23</f>
        <v xml:space="preserve">CREDECOOP </v>
      </c>
      <c r="K36" s="38">
        <f>+E23</f>
        <v>22832953068.360001</v>
      </c>
      <c r="L36" s="38">
        <f>+F23</f>
        <v>36500000</v>
      </c>
      <c r="M36" s="39">
        <f t="shared" si="4"/>
        <v>11416476.53418</v>
      </c>
      <c r="N36" s="40">
        <f t="shared" si="6"/>
        <v>951373.04451500007</v>
      </c>
    </row>
    <row r="37" spans="9:14" x14ac:dyDescent="0.35">
      <c r="I37" s="35">
        <v>8</v>
      </c>
      <c r="J37" s="37" t="str">
        <f>+B3</f>
        <v>COOCIQUE</v>
      </c>
      <c r="K37" s="38">
        <f>+E3</f>
        <v>244182275758.25</v>
      </c>
      <c r="L37" s="38">
        <v>200500000</v>
      </c>
      <c r="M37" s="39">
        <f t="shared" si="4"/>
        <v>122091137.879125</v>
      </c>
      <c r="N37" s="40">
        <f t="shared" si="6"/>
        <v>10174261.489927083</v>
      </c>
    </row>
    <row r="38" spans="9:14" x14ac:dyDescent="0.35">
      <c r="I38" s="35">
        <v>9</v>
      </c>
      <c r="J38" s="37" t="str">
        <f>+B21</f>
        <v xml:space="preserve">COOPESERVIDORES </v>
      </c>
      <c r="K38" s="38">
        <f>+E21</f>
        <v>646191591979.72998</v>
      </c>
      <c r="L38" s="38">
        <v>550500000</v>
      </c>
      <c r="M38" s="39">
        <f t="shared" si="4"/>
        <v>323095795.98986501</v>
      </c>
      <c r="N38" s="40">
        <f t="shared" si="6"/>
        <v>26924649.665822085</v>
      </c>
    </row>
    <row r="39" spans="9:14" x14ac:dyDescent="0.35">
      <c r="I39" s="35">
        <v>10</v>
      </c>
      <c r="J39" s="37" t="str">
        <f>+B17</f>
        <v xml:space="preserve">COOPEMEP </v>
      </c>
      <c r="K39" s="38">
        <f>+E17</f>
        <v>100177203025.41</v>
      </c>
      <c r="L39" s="38">
        <v>100500000</v>
      </c>
      <c r="M39" s="39">
        <f t="shared" si="4"/>
        <v>50088601.512705006</v>
      </c>
      <c r="N39" s="40">
        <f t="shared" si="6"/>
        <v>4174050.1260587503</v>
      </c>
    </row>
    <row r="40" spans="9:14" x14ac:dyDescent="0.35">
      <c r="I40" s="35">
        <v>11</v>
      </c>
      <c r="J40" s="37" t="str">
        <f>+B7</f>
        <v xml:space="preserve">COOPEANDE Nº 1 </v>
      </c>
      <c r="K40" s="38">
        <f>+E7</f>
        <v>602577836705.81006</v>
      </c>
      <c r="L40" s="38">
        <v>9500000</v>
      </c>
      <c r="M40" s="39">
        <f t="shared" si="4"/>
        <v>301288918.35290504</v>
      </c>
      <c r="N40" s="40">
        <f t="shared" si="6"/>
        <v>25107409.862742085</v>
      </c>
    </row>
    <row r="41" spans="9:14" ht="15" thickBot="1" x14ac:dyDescent="0.4">
      <c r="I41" s="35">
        <v>12</v>
      </c>
      <c r="J41" s="44" t="str">
        <f>+B25</f>
        <v>COOPEASAMBLEA</v>
      </c>
      <c r="K41" s="38">
        <f>+E25</f>
        <v>0</v>
      </c>
      <c r="L41" s="38">
        <v>550500000</v>
      </c>
      <c r="M41" s="39">
        <f t="shared" si="4"/>
        <v>0</v>
      </c>
      <c r="N41" s="40">
        <f t="shared" si="6"/>
        <v>0</v>
      </c>
    </row>
    <row r="42" spans="9:14" ht="15" thickBot="1" x14ac:dyDescent="0.4">
      <c r="J42" s="41" t="s">
        <v>53</v>
      </c>
      <c r="K42" s="42">
        <f>SUM(K30:K41)</f>
        <v>3170457131117.73</v>
      </c>
      <c r="L42" s="42">
        <f>SUM(L30:L41)</f>
        <v>2823000000</v>
      </c>
      <c r="M42" s="42">
        <f>SUM(M30:M41)</f>
        <v>1585228565.5588651</v>
      </c>
      <c r="N42" s="43">
        <f>SUM(N30:N41)</f>
        <v>132102380.46323875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Cartera de Crédito</vt:lpstr>
      <vt:lpstr>Resumen</vt:lpstr>
      <vt:lpstr>Modelo Ingresos-Gastos (210)</vt:lpstr>
      <vt:lpstr>Modelo Ingresos-Gastos (130)</vt:lpstr>
      <vt:lpstr>Modelo Ingresos-Gasto (120+130)</vt:lpstr>
      <vt:lpstr>Modelo Ingresos-Gastos (10,000)</vt:lpstr>
      <vt:lpstr>Cédula de captaciones CAC´s</vt:lpstr>
      <vt:lpstr>Cédula Cartera Crédito CAC´s</vt:lpstr>
      <vt:lpstr>Cédula Act-Productivo CAC´s</vt:lpstr>
      <vt:lpstr>Cédula Activo Total CAC´s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Cinthya Salazar - Analista de Riesgos</dc:creator>
  <cp:lastModifiedBy>Gina Muñoz</cp:lastModifiedBy>
  <dcterms:created xsi:type="dcterms:W3CDTF">2020-02-10T18:55:23Z</dcterms:created>
  <dcterms:modified xsi:type="dcterms:W3CDTF">2020-05-22T17:47:45Z</dcterms:modified>
</cp:coreProperties>
</file>